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8800" windowHeight="16100" tabRatio="699" firstSheet="3" activeTab="3"/>
  </bookViews>
  <sheets>
    <sheet name="Вариант 1" sheetId="1" r:id="rId1"/>
    <sheet name="Финальный" sheetId="2" r:id="rId2"/>
    <sheet name="Раздельный" sheetId="5" r:id="rId3"/>
    <sheet name="Zem.17" sheetId="13" r:id="rId4"/>
  </sheets>
  <definedNames>
    <definedName name="_xlnm.Print_Area" localSheetId="3">Zem.17!$A$3:$K$44</definedName>
    <definedName name="_xlnm.Print_Titles" localSheetId="3">Zem.17!$8:$9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3" l="1"/>
  <c r="I27" i="13"/>
  <c r="I25" i="13"/>
  <c r="J25" i="13"/>
  <c r="H25" i="13"/>
  <c r="K25" i="13"/>
  <c r="I22" i="13"/>
  <c r="H22" i="13"/>
  <c r="J22" i="13"/>
  <c r="K22" i="13"/>
  <c r="I36" i="13"/>
  <c r="J19" i="13"/>
  <c r="I19" i="13"/>
  <c r="H19" i="13"/>
  <c r="H20" i="13"/>
  <c r="I20" i="13"/>
  <c r="J20" i="13"/>
  <c r="I24" i="13"/>
  <c r="I12" i="13"/>
  <c r="J36" i="13"/>
  <c r="J35" i="13"/>
  <c r="K35" i="13"/>
  <c r="H24" i="13"/>
  <c r="J14" i="13"/>
  <c r="I14" i="13"/>
  <c r="H14" i="13"/>
  <c r="J12" i="13"/>
  <c r="H12" i="13"/>
  <c r="K12" i="13"/>
  <c r="J11" i="13"/>
  <c r="H11" i="13"/>
  <c r="J32" i="13"/>
  <c r="I32" i="13"/>
  <c r="H32" i="13"/>
  <c r="H31" i="13"/>
  <c r="I31" i="13"/>
  <c r="J31" i="13"/>
  <c r="K31" i="13"/>
  <c r="I30" i="13"/>
  <c r="J30" i="13"/>
  <c r="H30" i="13"/>
  <c r="J29" i="13"/>
  <c r="H29" i="13"/>
  <c r="J27" i="13"/>
  <c r="H27" i="13"/>
  <c r="I26" i="13"/>
  <c r="H26" i="13"/>
  <c r="J26" i="13"/>
  <c r="J24" i="13"/>
  <c r="K24" i="13"/>
  <c r="J21" i="13"/>
  <c r="I21" i="13"/>
  <c r="H21" i="13"/>
  <c r="J18" i="13"/>
  <c r="I18" i="13"/>
  <c r="H18" i="13"/>
  <c r="J16" i="13"/>
  <c r="I16" i="13"/>
  <c r="H16" i="13"/>
  <c r="K16" i="13"/>
  <c r="J15" i="13"/>
  <c r="J17" i="13"/>
  <c r="I15" i="13"/>
  <c r="I17" i="13"/>
  <c r="H15" i="13"/>
  <c r="H17" i="13"/>
  <c r="I34" i="13"/>
  <c r="K34" i="13"/>
  <c r="J173" i="1"/>
  <c r="H173" i="1"/>
  <c r="I173" i="1"/>
  <c r="K173" i="1"/>
  <c r="M173" i="1"/>
  <c r="J168" i="1"/>
  <c r="H168" i="1"/>
  <c r="I168" i="1"/>
  <c r="K168" i="1"/>
  <c r="M168" i="1"/>
  <c r="J169" i="1"/>
  <c r="H169" i="1"/>
  <c r="I169" i="1"/>
  <c r="K169" i="1"/>
  <c r="M169" i="1"/>
  <c r="J170" i="1"/>
  <c r="H170" i="1"/>
  <c r="I170" i="1"/>
  <c r="K170" i="1"/>
  <c r="M170" i="1"/>
  <c r="J171" i="1"/>
  <c r="H171" i="1"/>
  <c r="I171" i="1"/>
  <c r="K171" i="1"/>
  <c r="M171" i="1"/>
  <c r="J172" i="1"/>
  <c r="H172" i="1"/>
  <c r="I172" i="1"/>
  <c r="K172" i="1"/>
  <c r="M172" i="1"/>
  <c r="J174" i="1"/>
  <c r="H174" i="1"/>
  <c r="I174" i="1"/>
  <c r="K174" i="1"/>
  <c r="M174" i="1"/>
  <c r="J175" i="1"/>
  <c r="H175" i="1"/>
  <c r="I175" i="1"/>
  <c r="K175" i="1"/>
  <c r="M175" i="1"/>
  <c r="J176" i="1"/>
  <c r="H176" i="1"/>
  <c r="I176" i="1"/>
  <c r="K176" i="1"/>
  <c r="M176" i="1"/>
  <c r="J177" i="1"/>
  <c r="H177" i="1"/>
  <c r="I177" i="1"/>
  <c r="K177" i="1"/>
  <c r="M177" i="1"/>
  <c r="J178" i="1"/>
  <c r="H178" i="1"/>
  <c r="I178" i="1"/>
  <c r="K178" i="1"/>
  <c r="M178" i="1"/>
  <c r="J179" i="1"/>
  <c r="H179" i="1"/>
  <c r="I179" i="1"/>
  <c r="K179" i="1"/>
  <c r="M179" i="1"/>
  <c r="J180" i="1"/>
  <c r="H180" i="1"/>
  <c r="I180" i="1"/>
  <c r="K180" i="1"/>
  <c r="M180" i="1"/>
  <c r="J181" i="1"/>
  <c r="H181" i="1"/>
  <c r="I181" i="1"/>
  <c r="K181" i="1"/>
  <c r="M181" i="1"/>
  <c r="H265" i="1"/>
  <c r="I265" i="1"/>
  <c r="J265" i="1"/>
  <c r="K265" i="1"/>
  <c r="M265" i="1"/>
  <c r="J266" i="1"/>
  <c r="H266" i="1"/>
  <c r="I266" i="1"/>
  <c r="K266" i="1"/>
  <c r="M266" i="1"/>
  <c r="J267" i="1"/>
  <c r="H267" i="1"/>
  <c r="I267" i="1"/>
  <c r="K267" i="1"/>
  <c r="M267" i="1"/>
  <c r="J268" i="1"/>
  <c r="H268" i="1"/>
  <c r="I268" i="1"/>
  <c r="K268" i="1"/>
  <c r="M268" i="1"/>
  <c r="J269" i="1"/>
  <c r="H269" i="1"/>
  <c r="I269" i="1"/>
  <c r="K269" i="1"/>
  <c r="M269" i="1"/>
  <c r="H24" i="1"/>
  <c r="I24" i="1"/>
  <c r="J24" i="1"/>
  <c r="K24" i="1"/>
  <c r="M24" i="1"/>
  <c r="H20" i="1"/>
  <c r="I20" i="1"/>
  <c r="J20" i="1"/>
  <c r="K20" i="1"/>
  <c r="M20" i="1"/>
  <c r="H18" i="1"/>
  <c r="I18" i="1"/>
  <c r="J18" i="1"/>
  <c r="K18" i="1"/>
  <c r="M18" i="1"/>
  <c r="H16" i="1"/>
  <c r="I16" i="1"/>
  <c r="J16" i="1"/>
  <c r="K16" i="1"/>
  <c r="M16" i="1"/>
  <c r="H15" i="1"/>
  <c r="I15" i="1"/>
  <c r="J15" i="1"/>
  <c r="K15" i="1"/>
  <c r="M15" i="1"/>
  <c r="H21" i="1"/>
  <c r="I21" i="1"/>
  <c r="J21" i="1"/>
  <c r="K21" i="1"/>
  <c r="M21" i="1"/>
  <c r="J14" i="1"/>
  <c r="H14" i="1"/>
  <c r="I14" i="1"/>
  <c r="K14" i="1"/>
  <c r="M14" i="1"/>
  <c r="J17" i="1"/>
  <c r="H17" i="1"/>
  <c r="I17" i="1"/>
  <c r="K17" i="1"/>
  <c r="M17" i="1"/>
  <c r="J19" i="1"/>
  <c r="H19" i="1"/>
  <c r="I19" i="1"/>
  <c r="K19" i="1"/>
  <c r="M19" i="1"/>
  <c r="J22" i="1"/>
  <c r="H22" i="1"/>
  <c r="I22" i="1"/>
  <c r="K22" i="1"/>
  <c r="M22" i="1"/>
  <c r="J23" i="1"/>
  <c r="H23" i="1"/>
  <c r="I23" i="1"/>
  <c r="K23" i="1"/>
  <c r="M23" i="1"/>
  <c r="H288" i="1"/>
  <c r="I288" i="1"/>
  <c r="J288" i="1"/>
  <c r="K288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9" i="1"/>
  <c r="I289" i="1"/>
  <c r="J289" i="1"/>
  <c r="K289" i="1"/>
  <c r="H27" i="1"/>
  <c r="I27" i="1"/>
  <c r="J27" i="1"/>
  <c r="K27" i="1"/>
  <c r="H34" i="1"/>
  <c r="I34" i="1"/>
  <c r="J34" i="1"/>
  <c r="K34" i="1"/>
  <c r="H39" i="1"/>
  <c r="I39" i="1"/>
  <c r="J39" i="1"/>
  <c r="K39" i="1"/>
  <c r="H42" i="1"/>
  <c r="I42" i="1"/>
  <c r="J42" i="1"/>
  <c r="K42" i="1"/>
  <c r="H46" i="1"/>
  <c r="I46" i="1"/>
  <c r="J46" i="1"/>
  <c r="K46" i="1"/>
  <c r="H61" i="1"/>
  <c r="I61" i="1"/>
  <c r="J61" i="1"/>
  <c r="K61" i="1"/>
  <c r="H127" i="1"/>
  <c r="I127" i="1"/>
  <c r="J127" i="1"/>
  <c r="K127" i="1"/>
  <c r="H140" i="1"/>
  <c r="I140" i="1"/>
  <c r="J140" i="1"/>
  <c r="K140" i="1"/>
  <c r="H149" i="1"/>
  <c r="I149" i="1"/>
  <c r="J149" i="1"/>
  <c r="K149" i="1"/>
  <c r="H157" i="1"/>
  <c r="I157" i="1"/>
  <c r="J157" i="1"/>
  <c r="K157" i="1"/>
  <c r="H161" i="1"/>
  <c r="I161" i="1"/>
  <c r="J161" i="1"/>
  <c r="K161" i="1"/>
  <c r="H166" i="1"/>
  <c r="I166" i="1"/>
  <c r="J166" i="1"/>
  <c r="K166" i="1"/>
  <c r="H186" i="1"/>
  <c r="I186" i="1"/>
  <c r="J186" i="1"/>
  <c r="K186" i="1"/>
  <c r="H189" i="1"/>
  <c r="I189" i="1"/>
  <c r="J189" i="1"/>
  <c r="H214" i="1"/>
  <c r="I214" i="1"/>
  <c r="J214" i="1"/>
  <c r="H220" i="1"/>
  <c r="I220" i="1"/>
  <c r="J220" i="1"/>
  <c r="H221" i="1"/>
  <c r="I221" i="1"/>
  <c r="J221" i="1"/>
  <c r="H118" i="1"/>
  <c r="I118" i="1"/>
  <c r="J118" i="1"/>
  <c r="K118" i="1"/>
  <c r="H233" i="1"/>
  <c r="I233" i="1"/>
  <c r="J233" i="1"/>
  <c r="K233" i="1"/>
  <c r="H237" i="1"/>
  <c r="I237" i="1"/>
  <c r="J237" i="1"/>
  <c r="K237" i="1"/>
  <c r="H241" i="1"/>
  <c r="I241" i="1"/>
  <c r="J241" i="1"/>
  <c r="K241" i="1"/>
  <c r="H245" i="1"/>
  <c r="I245" i="1"/>
  <c r="J245" i="1"/>
  <c r="K245" i="1"/>
  <c r="I297" i="1"/>
  <c r="H297" i="1"/>
  <c r="J297" i="1"/>
  <c r="K297" i="1"/>
  <c r="I192" i="1"/>
  <c r="H192" i="1"/>
  <c r="J192" i="1"/>
  <c r="K192" i="1"/>
  <c r="I204" i="1"/>
  <c r="H204" i="1"/>
  <c r="J204" i="1"/>
  <c r="K204" i="1"/>
  <c r="H188" i="1"/>
  <c r="I188" i="1"/>
  <c r="J188" i="1"/>
  <c r="K188" i="1"/>
  <c r="H299" i="1"/>
  <c r="I299" i="1"/>
  <c r="J299" i="1"/>
  <c r="K299" i="1"/>
  <c r="H83" i="1"/>
  <c r="I83" i="1"/>
  <c r="J83" i="1"/>
  <c r="K83" i="1"/>
  <c r="H25" i="1"/>
  <c r="I25" i="1"/>
  <c r="J25" i="1"/>
  <c r="K25" i="1"/>
  <c r="H26" i="1"/>
  <c r="I26" i="1"/>
  <c r="J26" i="1"/>
  <c r="H28" i="1"/>
  <c r="I28" i="1"/>
  <c r="J28" i="1"/>
  <c r="K28" i="1"/>
  <c r="H29" i="1"/>
  <c r="I29" i="1"/>
  <c r="J29" i="1"/>
  <c r="H30" i="1"/>
  <c r="I30" i="1"/>
  <c r="J30" i="1"/>
  <c r="K30" i="1"/>
  <c r="H31" i="1"/>
  <c r="I31" i="1"/>
  <c r="J31" i="1"/>
  <c r="H32" i="1"/>
  <c r="I32" i="1"/>
  <c r="J32" i="1"/>
  <c r="H33" i="1"/>
  <c r="I33" i="1"/>
  <c r="J33" i="1"/>
  <c r="K33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40" i="1"/>
  <c r="I40" i="1"/>
  <c r="J40" i="1"/>
  <c r="K40" i="1"/>
  <c r="H41" i="1"/>
  <c r="I41" i="1"/>
  <c r="J41" i="1"/>
  <c r="K41" i="1"/>
  <c r="H43" i="1"/>
  <c r="I43" i="1"/>
  <c r="J43" i="1"/>
  <c r="K43" i="1"/>
  <c r="H44" i="1"/>
  <c r="I44" i="1"/>
  <c r="J44" i="1"/>
  <c r="K44" i="1"/>
  <c r="H45" i="1"/>
  <c r="I45" i="1"/>
  <c r="J45" i="1"/>
  <c r="K45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7" i="1"/>
  <c r="I167" i="1"/>
  <c r="J167" i="1"/>
  <c r="K167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7" i="1"/>
  <c r="I187" i="1"/>
  <c r="J187" i="1"/>
  <c r="K187" i="1"/>
  <c r="H190" i="1"/>
  <c r="I190" i="1"/>
  <c r="J190" i="1"/>
  <c r="K190" i="1"/>
  <c r="H191" i="1"/>
  <c r="I191" i="1"/>
  <c r="J191" i="1"/>
  <c r="K191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H199" i="1"/>
  <c r="I199" i="1"/>
  <c r="J199" i="1"/>
  <c r="H200" i="1"/>
  <c r="I200" i="1"/>
  <c r="J200" i="1"/>
  <c r="H201" i="1"/>
  <c r="I201" i="1"/>
  <c r="J201" i="1"/>
  <c r="H202" i="1"/>
  <c r="I202" i="1"/>
  <c r="J202" i="1"/>
  <c r="H203" i="1"/>
  <c r="I203" i="1"/>
  <c r="J203" i="1"/>
  <c r="H205" i="1"/>
  <c r="I205" i="1"/>
  <c r="J205" i="1"/>
  <c r="H206" i="1"/>
  <c r="I206" i="1"/>
  <c r="J206" i="1"/>
  <c r="H207" i="1"/>
  <c r="I207" i="1"/>
  <c r="J207" i="1"/>
  <c r="H208" i="1"/>
  <c r="I208" i="1"/>
  <c r="J208" i="1"/>
  <c r="H209" i="1"/>
  <c r="I209" i="1"/>
  <c r="J209" i="1"/>
  <c r="H210" i="1"/>
  <c r="I210" i="1"/>
  <c r="J210" i="1"/>
  <c r="H211" i="1"/>
  <c r="I211" i="1"/>
  <c r="J211" i="1"/>
  <c r="H212" i="1"/>
  <c r="I212" i="1"/>
  <c r="J212" i="1"/>
  <c r="H213" i="1"/>
  <c r="I213" i="1"/>
  <c r="J213" i="1"/>
  <c r="K213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81" i="1"/>
  <c r="I281" i="1"/>
  <c r="J281" i="1"/>
  <c r="K281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I295" i="1"/>
  <c r="I296" i="1"/>
  <c r="I298" i="1"/>
  <c r="I300" i="1"/>
  <c r="I301" i="1"/>
  <c r="H295" i="1"/>
  <c r="J295" i="1"/>
  <c r="K295" i="1"/>
  <c r="H296" i="1"/>
  <c r="J296" i="1"/>
  <c r="K296" i="1"/>
  <c r="H298" i="1"/>
  <c r="J298" i="1"/>
  <c r="K298" i="1"/>
  <c r="H300" i="1"/>
  <c r="J300" i="1"/>
  <c r="K300" i="1"/>
  <c r="H301" i="1"/>
  <c r="J301" i="1"/>
  <c r="M67" i="1"/>
  <c r="M68" i="1"/>
  <c r="M69" i="1"/>
  <c r="M71" i="1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H13" i="5"/>
  <c r="I13" i="5"/>
  <c r="J13" i="5"/>
  <c r="K13" i="5"/>
  <c r="H14" i="5"/>
  <c r="I14" i="5"/>
  <c r="J14" i="5"/>
  <c r="K14" i="5"/>
  <c r="H15" i="5"/>
  <c r="I15" i="5"/>
  <c r="J15" i="5"/>
  <c r="K15" i="5"/>
  <c r="H16" i="5"/>
  <c r="I16" i="5"/>
  <c r="J16" i="5"/>
  <c r="K16" i="5"/>
  <c r="H17" i="5"/>
  <c r="I17" i="5"/>
  <c r="J17" i="5"/>
  <c r="K17" i="5"/>
  <c r="H18" i="5"/>
  <c r="I18" i="5"/>
  <c r="J18" i="5"/>
  <c r="K18" i="5"/>
  <c r="H19" i="5"/>
  <c r="I19" i="5"/>
  <c r="J19" i="5"/>
  <c r="K19" i="5"/>
  <c r="H20" i="5"/>
  <c r="I20" i="5"/>
  <c r="J20" i="5"/>
  <c r="K20" i="5"/>
  <c r="H21" i="5"/>
  <c r="I21" i="5"/>
  <c r="J21" i="5"/>
  <c r="K21" i="5"/>
  <c r="H22" i="5"/>
  <c r="I22" i="5"/>
  <c r="J22" i="5"/>
  <c r="K22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H28" i="5"/>
  <c r="I28" i="5"/>
  <c r="J28" i="5"/>
  <c r="K28" i="5"/>
  <c r="H29" i="5"/>
  <c r="I29" i="5"/>
  <c r="J29" i="5"/>
  <c r="K29" i="5"/>
  <c r="H30" i="5"/>
  <c r="I30" i="5"/>
  <c r="J30" i="5"/>
  <c r="K30" i="5"/>
  <c r="H31" i="5"/>
  <c r="I31" i="5"/>
  <c r="J31" i="5"/>
  <c r="K31" i="5"/>
  <c r="H32" i="5"/>
  <c r="I32" i="5"/>
  <c r="J32" i="5"/>
  <c r="K32" i="5"/>
  <c r="H33" i="5"/>
  <c r="I33" i="5"/>
  <c r="J33" i="5"/>
  <c r="K33" i="5"/>
  <c r="H34" i="5"/>
  <c r="I34" i="5"/>
  <c r="J34" i="5"/>
  <c r="K34" i="5"/>
  <c r="H35" i="5"/>
  <c r="I35" i="5"/>
  <c r="J35" i="5"/>
  <c r="K35" i="5"/>
  <c r="H36" i="5"/>
  <c r="I36" i="5"/>
  <c r="J36" i="5"/>
  <c r="K36" i="5"/>
  <c r="H37" i="5"/>
  <c r="I37" i="5"/>
  <c r="J37" i="5"/>
  <c r="K37" i="5"/>
  <c r="H38" i="5"/>
  <c r="I38" i="5"/>
  <c r="J38" i="5"/>
  <c r="K38" i="5"/>
  <c r="H39" i="5"/>
  <c r="I39" i="5"/>
  <c r="J39" i="5"/>
  <c r="K39" i="5"/>
  <c r="H40" i="5"/>
  <c r="I40" i="5"/>
  <c r="J40" i="5"/>
  <c r="K40" i="5"/>
  <c r="H41" i="5"/>
  <c r="I41" i="5"/>
  <c r="J41" i="5"/>
  <c r="K41" i="5"/>
  <c r="H42" i="5"/>
  <c r="I42" i="5"/>
  <c r="J42" i="5"/>
  <c r="K42" i="5"/>
  <c r="H43" i="5"/>
  <c r="I43" i="5"/>
  <c r="J43" i="5"/>
  <c r="K43" i="5"/>
  <c r="H44" i="5"/>
  <c r="I44" i="5"/>
  <c r="J44" i="5"/>
  <c r="K44" i="5"/>
  <c r="H45" i="5"/>
  <c r="I45" i="5"/>
  <c r="J45" i="5"/>
  <c r="K45" i="5"/>
  <c r="H46" i="5"/>
  <c r="I46" i="5"/>
  <c r="J46" i="5"/>
  <c r="K46" i="5"/>
  <c r="H47" i="5"/>
  <c r="I47" i="5"/>
  <c r="J47" i="5"/>
  <c r="K47" i="5"/>
  <c r="H48" i="5"/>
  <c r="I48" i="5"/>
  <c r="J48" i="5"/>
  <c r="K48" i="5"/>
  <c r="H49" i="5"/>
  <c r="I49" i="5"/>
  <c r="J49" i="5"/>
  <c r="K49" i="5"/>
  <c r="H50" i="5"/>
  <c r="I50" i="5"/>
  <c r="J50" i="5"/>
  <c r="K50" i="5"/>
  <c r="H51" i="5"/>
  <c r="I51" i="5"/>
  <c r="J51" i="5"/>
  <c r="K51" i="5"/>
  <c r="H52" i="5"/>
  <c r="I52" i="5"/>
  <c r="J52" i="5"/>
  <c r="K52" i="5"/>
  <c r="H53" i="5"/>
  <c r="I53" i="5"/>
  <c r="J53" i="5"/>
  <c r="K53" i="5"/>
  <c r="H54" i="5"/>
  <c r="I54" i="5"/>
  <c r="J54" i="5"/>
  <c r="K54" i="5"/>
  <c r="H55" i="5"/>
  <c r="I55" i="5"/>
  <c r="J55" i="5"/>
  <c r="K55" i="5"/>
  <c r="H56" i="5"/>
  <c r="I56" i="5"/>
  <c r="J56" i="5"/>
  <c r="K56" i="5"/>
  <c r="H57" i="5"/>
  <c r="I57" i="5"/>
  <c r="J57" i="5"/>
  <c r="K57" i="5"/>
  <c r="H58" i="5"/>
  <c r="I58" i="5"/>
  <c r="J58" i="5"/>
  <c r="K58" i="5"/>
  <c r="H59" i="5"/>
  <c r="I59" i="5"/>
  <c r="J59" i="5"/>
  <c r="K59" i="5"/>
  <c r="H60" i="5"/>
  <c r="I60" i="5"/>
  <c r="J60" i="5"/>
  <c r="K60" i="5"/>
  <c r="H61" i="5"/>
  <c r="I61" i="5"/>
  <c r="J61" i="5"/>
  <c r="K61" i="5"/>
  <c r="H62" i="5"/>
  <c r="I62" i="5"/>
  <c r="J62" i="5"/>
  <c r="K62" i="5"/>
  <c r="H63" i="5"/>
  <c r="I63" i="5"/>
  <c r="J63" i="5"/>
  <c r="K63" i="5"/>
  <c r="H64" i="5"/>
  <c r="I64" i="5"/>
  <c r="J64" i="5"/>
  <c r="K64" i="5"/>
  <c r="H65" i="5"/>
  <c r="I65" i="5"/>
  <c r="J65" i="5"/>
  <c r="K65" i="5"/>
  <c r="H66" i="5"/>
  <c r="I66" i="5"/>
  <c r="J66" i="5"/>
  <c r="K66" i="5"/>
  <c r="H67" i="5"/>
  <c r="I67" i="5"/>
  <c r="J67" i="5"/>
  <c r="K67" i="5"/>
  <c r="H68" i="5"/>
  <c r="I68" i="5"/>
  <c r="J68" i="5"/>
  <c r="K68" i="5"/>
  <c r="H69" i="5"/>
  <c r="I69" i="5"/>
  <c r="J69" i="5"/>
  <c r="K69" i="5"/>
  <c r="H70" i="5"/>
  <c r="I70" i="5"/>
  <c r="J70" i="5"/>
  <c r="K70" i="5"/>
  <c r="H71" i="5"/>
  <c r="I71" i="5"/>
  <c r="J71" i="5"/>
  <c r="K71" i="5"/>
  <c r="H72" i="5"/>
  <c r="I72" i="5"/>
  <c r="J72" i="5"/>
  <c r="K72" i="5"/>
  <c r="H73" i="5"/>
  <c r="I73" i="5"/>
  <c r="J73" i="5"/>
  <c r="K73" i="5"/>
  <c r="H74" i="5"/>
  <c r="I74" i="5"/>
  <c r="J74" i="5"/>
  <c r="K74" i="5"/>
  <c r="H75" i="5"/>
  <c r="I75" i="5"/>
  <c r="J75" i="5"/>
  <c r="K75" i="5"/>
  <c r="H76" i="5"/>
  <c r="I76" i="5"/>
  <c r="J76" i="5"/>
  <c r="K76" i="5"/>
  <c r="H77" i="5"/>
  <c r="I77" i="5"/>
  <c r="J77" i="5"/>
  <c r="K77" i="5"/>
  <c r="H78" i="5"/>
  <c r="I78" i="5"/>
  <c r="J78" i="5"/>
  <c r="K78" i="5"/>
  <c r="H79" i="5"/>
  <c r="I79" i="5"/>
  <c r="J79" i="5"/>
  <c r="K79" i="5"/>
  <c r="H80" i="5"/>
  <c r="I80" i="5"/>
  <c r="J80" i="5"/>
  <c r="K80" i="5"/>
  <c r="H81" i="5"/>
  <c r="I81" i="5"/>
  <c r="J81" i="5"/>
  <c r="K81" i="5"/>
  <c r="H82" i="5"/>
  <c r="I82" i="5"/>
  <c r="J82" i="5"/>
  <c r="K82" i="5"/>
  <c r="H83" i="5"/>
  <c r="I83" i="5"/>
  <c r="J83" i="5"/>
  <c r="K83" i="5"/>
  <c r="H84" i="5"/>
  <c r="I84" i="5"/>
  <c r="J84" i="5"/>
  <c r="K84" i="5"/>
  <c r="H85" i="5"/>
  <c r="I85" i="5"/>
  <c r="J85" i="5"/>
  <c r="K85" i="5"/>
  <c r="H86" i="5"/>
  <c r="I86" i="5"/>
  <c r="J86" i="5"/>
  <c r="K86" i="5"/>
  <c r="H87" i="5"/>
  <c r="I87" i="5"/>
  <c r="J87" i="5"/>
  <c r="K87" i="5"/>
  <c r="H88" i="5"/>
  <c r="I88" i="5"/>
  <c r="J88" i="5"/>
  <c r="K88" i="5"/>
  <c r="H89" i="5"/>
  <c r="I89" i="5"/>
  <c r="J89" i="5"/>
  <c r="K89" i="5"/>
  <c r="H90" i="5"/>
  <c r="I90" i="5"/>
  <c r="J90" i="5"/>
  <c r="K90" i="5"/>
  <c r="H91" i="5"/>
  <c r="I91" i="5"/>
  <c r="J91" i="5"/>
  <c r="K91" i="5"/>
  <c r="H92" i="5"/>
  <c r="I92" i="5"/>
  <c r="J92" i="5"/>
  <c r="K92" i="5"/>
  <c r="H93" i="5"/>
  <c r="I93" i="5"/>
  <c r="J93" i="5"/>
  <c r="K93" i="5"/>
  <c r="H94" i="5"/>
  <c r="I94" i="5"/>
  <c r="J94" i="5"/>
  <c r="K94" i="5"/>
  <c r="H95" i="5"/>
  <c r="I95" i="5"/>
  <c r="J95" i="5"/>
  <c r="K95" i="5"/>
  <c r="H96" i="5"/>
  <c r="I96" i="5"/>
  <c r="J96" i="5"/>
  <c r="K96" i="5"/>
  <c r="H97" i="5"/>
  <c r="I97" i="5"/>
  <c r="J97" i="5"/>
  <c r="K97" i="5"/>
  <c r="H98" i="5"/>
  <c r="I98" i="5"/>
  <c r="J98" i="5"/>
  <c r="K98" i="5"/>
  <c r="H99" i="5"/>
  <c r="I99" i="5"/>
  <c r="J99" i="5"/>
  <c r="K99" i="5"/>
  <c r="H100" i="5"/>
  <c r="I100" i="5"/>
  <c r="J100" i="5"/>
  <c r="K100" i="5"/>
  <c r="H101" i="5"/>
  <c r="I101" i="5"/>
  <c r="J101" i="5"/>
  <c r="K101" i="5"/>
  <c r="H102" i="5"/>
  <c r="I102" i="5"/>
  <c r="J102" i="5"/>
  <c r="K102" i="5"/>
  <c r="H103" i="5"/>
  <c r="I103" i="5"/>
  <c r="J103" i="5"/>
  <c r="K103" i="5"/>
  <c r="H104" i="5"/>
  <c r="I104" i="5"/>
  <c r="J104" i="5"/>
  <c r="K104" i="5"/>
  <c r="H105" i="5"/>
  <c r="I105" i="5"/>
  <c r="J105" i="5"/>
  <c r="K105" i="5"/>
  <c r="H106" i="5"/>
  <c r="I106" i="5"/>
  <c r="J106" i="5"/>
  <c r="K106" i="5"/>
  <c r="H107" i="5"/>
  <c r="I107" i="5"/>
  <c r="J107" i="5"/>
  <c r="K107" i="5"/>
  <c r="H108" i="5"/>
  <c r="I108" i="5"/>
  <c r="J108" i="5"/>
  <c r="K108" i="5"/>
  <c r="H109" i="5"/>
  <c r="I109" i="5"/>
  <c r="J109" i="5"/>
  <c r="K109" i="5"/>
  <c r="H110" i="5"/>
  <c r="I110" i="5"/>
  <c r="J110" i="5"/>
  <c r="K110" i="5"/>
  <c r="H111" i="5"/>
  <c r="I111" i="5"/>
  <c r="J111" i="5"/>
  <c r="K111" i="5"/>
  <c r="H112" i="5"/>
  <c r="I112" i="5"/>
  <c r="J112" i="5"/>
  <c r="K112" i="5"/>
  <c r="H113" i="5"/>
  <c r="I113" i="5"/>
  <c r="J113" i="5"/>
  <c r="K113" i="5"/>
  <c r="H114" i="5"/>
  <c r="I114" i="5"/>
  <c r="J114" i="5"/>
  <c r="K114" i="5"/>
  <c r="H115" i="5"/>
  <c r="I115" i="5"/>
  <c r="J115" i="5"/>
  <c r="K115" i="5"/>
  <c r="H116" i="5"/>
  <c r="I116" i="5"/>
  <c r="J116" i="5"/>
  <c r="K116" i="5"/>
  <c r="H117" i="5"/>
  <c r="I117" i="5"/>
  <c r="J117" i="5"/>
  <c r="K117" i="5"/>
  <c r="H118" i="5"/>
  <c r="I118" i="5"/>
  <c r="J118" i="5"/>
  <c r="K118" i="5"/>
  <c r="H119" i="5"/>
  <c r="I119" i="5"/>
  <c r="J119" i="5"/>
  <c r="K119" i="5"/>
  <c r="H120" i="5"/>
  <c r="I120" i="5"/>
  <c r="J120" i="5"/>
  <c r="K120" i="5"/>
  <c r="H121" i="5"/>
  <c r="I121" i="5"/>
  <c r="J121" i="5"/>
  <c r="K121" i="5"/>
  <c r="H122" i="5"/>
  <c r="I122" i="5"/>
  <c r="J122" i="5"/>
  <c r="K122" i="5"/>
  <c r="H123" i="5"/>
  <c r="I123" i="5"/>
  <c r="J123" i="5"/>
  <c r="K123" i="5"/>
  <c r="H124" i="5"/>
  <c r="I124" i="5"/>
  <c r="J124" i="5"/>
  <c r="K124" i="5"/>
  <c r="H125" i="5"/>
  <c r="I125" i="5"/>
  <c r="J125" i="5"/>
  <c r="K125" i="5"/>
  <c r="I126" i="5"/>
  <c r="I127" i="5"/>
  <c r="I128" i="5"/>
  <c r="I129" i="5"/>
  <c r="I130" i="5"/>
  <c r="I131" i="5"/>
  <c r="I132" i="5"/>
  <c r="I133" i="5"/>
  <c r="I134" i="5"/>
  <c r="H126" i="5"/>
  <c r="J126" i="5"/>
  <c r="K126" i="5"/>
  <c r="H127" i="5"/>
  <c r="J127" i="5"/>
  <c r="K127" i="5"/>
  <c r="H128" i="5"/>
  <c r="J128" i="5"/>
  <c r="K128" i="5"/>
  <c r="H129" i="5"/>
  <c r="J129" i="5"/>
  <c r="K129" i="5"/>
  <c r="H130" i="5"/>
  <c r="J130" i="5"/>
  <c r="K130" i="5"/>
  <c r="H131" i="5"/>
  <c r="J131" i="5"/>
  <c r="K131" i="5"/>
  <c r="H132" i="5"/>
  <c r="J132" i="5"/>
  <c r="K132" i="5"/>
  <c r="H133" i="5"/>
  <c r="J133" i="5"/>
  <c r="K133" i="5"/>
  <c r="I175" i="5"/>
  <c r="K175" i="5"/>
  <c r="I174" i="5"/>
  <c r="K174" i="5"/>
  <c r="I176" i="5"/>
  <c r="K176" i="5"/>
  <c r="I177" i="5"/>
  <c r="K177" i="5"/>
  <c r="I168" i="5"/>
  <c r="K168" i="5"/>
  <c r="I173" i="5"/>
  <c r="K173" i="5"/>
  <c r="I170" i="5"/>
  <c r="K170" i="5"/>
  <c r="I171" i="5"/>
  <c r="K171" i="5"/>
  <c r="I178" i="5"/>
  <c r="K178" i="5"/>
  <c r="J134" i="5"/>
  <c r="H134" i="5"/>
  <c r="J10" i="2"/>
  <c r="K10" i="2"/>
  <c r="I10" i="2"/>
  <c r="L10" i="2"/>
  <c r="J11" i="2"/>
  <c r="K11" i="2"/>
  <c r="L11" i="2"/>
  <c r="M11" i="2"/>
  <c r="J12" i="2"/>
  <c r="K12" i="2"/>
  <c r="L12" i="2"/>
  <c r="M12" i="2"/>
  <c r="J13" i="2"/>
  <c r="K13" i="2"/>
  <c r="I13" i="2"/>
  <c r="L13" i="2"/>
  <c r="M13" i="2"/>
  <c r="J14" i="2"/>
  <c r="K14" i="2"/>
  <c r="I14" i="2"/>
  <c r="L14" i="2"/>
  <c r="J15" i="2"/>
  <c r="K15" i="2"/>
  <c r="I15" i="2"/>
  <c r="L15" i="2"/>
  <c r="M15" i="2"/>
  <c r="J16" i="2"/>
  <c r="K16" i="2"/>
  <c r="I16" i="2"/>
  <c r="L16" i="2"/>
  <c r="J17" i="2"/>
  <c r="K17" i="2"/>
  <c r="I17" i="2"/>
  <c r="L17" i="2"/>
  <c r="M17" i="2"/>
  <c r="J18" i="2"/>
  <c r="K18" i="2"/>
  <c r="I18" i="2"/>
  <c r="L18" i="2"/>
  <c r="J19" i="2"/>
  <c r="K19" i="2"/>
  <c r="I19" i="2"/>
  <c r="L19" i="2"/>
  <c r="M19" i="2"/>
  <c r="J20" i="2"/>
  <c r="K20" i="2"/>
  <c r="I20" i="2"/>
  <c r="L20" i="2"/>
  <c r="J21" i="2"/>
  <c r="K21" i="2"/>
  <c r="I21" i="2"/>
  <c r="L21" i="2"/>
  <c r="M21" i="2"/>
  <c r="J22" i="2"/>
  <c r="K22" i="2"/>
  <c r="I22" i="2"/>
  <c r="L22" i="2"/>
  <c r="J23" i="2"/>
  <c r="K23" i="2"/>
  <c r="I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I27" i="2"/>
  <c r="L27" i="2"/>
  <c r="J28" i="2"/>
  <c r="K28" i="2"/>
  <c r="L28" i="2"/>
  <c r="M28" i="2"/>
  <c r="J29" i="2"/>
  <c r="K29" i="2"/>
  <c r="I29" i="2"/>
  <c r="L29" i="2"/>
  <c r="M29" i="2"/>
  <c r="J30" i="2"/>
  <c r="K30" i="2"/>
  <c r="I30" i="2"/>
  <c r="L30" i="2"/>
  <c r="M30" i="2"/>
  <c r="F31" i="2"/>
  <c r="J31" i="2"/>
  <c r="I31" i="2"/>
  <c r="F32" i="2"/>
  <c r="J32" i="2"/>
  <c r="I32" i="2"/>
  <c r="F33" i="2"/>
  <c r="J33" i="2"/>
  <c r="I33" i="2"/>
  <c r="F34" i="2"/>
  <c r="J34" i="2"/>
  <c r="I34" i="2"/>
  <c r="F35" i="2"/>
  <c r="J35" i="2"/>
  <c r="I35" i="2"/>
  <c r="F36" i="2"/>
  <c r="J36" i="2"/>
  <c r="I36" i="2"/>
  <c r="F37" i="2"/>
  <c r="J37" i="2"/>
  <c r="I37" i="2"/>
  <c r="F38" i="2"/>
  <c r="J38" i="2"/>
  <c r="I38" i="2"/>
  <c r="F39" i="2"/>
  <c r="J39" i="2"/>
  <c r="I39" i="2"/>
  <c r="F40" i="2"/>
  <c r="J40" i="2"/>
  <c r="I40" i="2"/>
  <c r="J41" i="2"/>
  <c r="K41" i="2"/>
  <c r="I41" i="2"/>
  <c r="L41" i="2"/>
  <c r="M41" i="2"/>
  <c r="J42" i="2"/>
  <c r="K42" i="2"/>
  <c r="I42" i="2"/>
  <c r="L42" i="2"/>
  <c r="M42" i="2"/>
  <c r="F43" i="2"/>
  <c r="J43" i="2"/>
  <c r="I43" i="2"/>
  <c r="F44" i="2"/>
  <c r="J44" i="2"/>
  <c r="I44" i="2"/>
  <c r="J45" i="2"/>
  <c r="K45" i="2"/>
  <c r="I45" i="2"/>
  <c r="L45" i="2"/>
  <c r="M45" i="2"/>
  <c r="I46" i="2"/>
  <c r="J47" i="2"/>
  <c r="K47" i="2"/>
  <c r="L47" i="2"/>
  <c r="M47" i="2"/>
  <c r="J48" i="2"/>
  <c r="K48" i="2"/>
  <c r="I48" i="2"/>
  <c r="L48" i="2"/>
  <c r="M48" i="2"/>
  <c r="J49" i="2"/>
  <c r="K49" i="2"/>
  <c r="I49" i="2"/>
  <c r="L49" i="2"/>
  <c r="M49" i="2"/>
  <c r="F50" i="2"/>
  <c r="J50" i="2"/>
  <c r="K50" i="2"/>
  <c r="I50" i="2"/>
  <c r="L50" i="2"/>
  <c r="M50" i="2"/>
  <c r="F51" i="2"/>
  <c r="J51" i="2"/>
  <c r="K51" i="2"/>
  <c r="I51" i="2"/>
  <c r="L51" i="2"/>
  <c r="M51" i="2"/>
  <c r="J52" i="2"/>
  <c r="K52" i="2"/>
  <c r="I52" i="2"/>
  <c r="L52" i="2"/>
  <c r="M52" i="2"/>
  <c r="J53" i="2"/>
  <c r="K53" i="2"/>
  <c r="I53" i="2"/>
  <c r="L53" i="2"/>
  <c r="M53" i="2"/>
  <c r="J54" i="2"/>
  <c r="K54" i="2"/>
  <c r="I54" i="2"/>
  <c r="L54" i="2"/>
  <c r="M54" i="2"/>
  <c r="J55" i="2"/>
  <c r="K55" i="2"/>
  <c r="L55" i="2"/>
  <c r="M55" i="2"/>
  <c r="J56" i="2"/>
  <c r="K56" i="2"/>
  <c r="I56" i="2"/>
  <c r="L56" i="2"/>
  <c r="M56" i="2"/>
  <c r="F57" i="2"/>
  <c r="J57" i="2"/>
  <c r="K57" i="2"/>
  <c r="I57" i="2"/>
  <c r="L57" i="2"/>
  <c r="M57" i="2"/>
  <c r="F58" i="2"/>
  <c r="J58" i="2"/>
  <c r="K58" i="2"/>
  <c r="I58" i="2"/>
  <c r="L58" i="2"/>
  <c r="M58" i="2"/>
  <c r="J59" i="2"/>
  <c r="K59" i="2"/>
  <c r="I59" i="2"/>
  <c r="L59" i="2"/>
  <c r="M59" i="2"/>
  <c r="F60" i="2"/>
  <c r="J60" i="2"/>
  <c r="K60" i="2"/>
  <c r="I60" i="2"/>
  <c r="L60" i="2"/>
  <c r="M60" i="2"/>
  <c r="J61" i="2"/>
  <c r="K61" i="2"/>
  <c r="I61" i="2"/>
  <c r="L61" i="2"/>
  <c r="M61" i="2"/>
  <c r="J62" i="2"/>
  <c r="K62" i="2"/>
  <c r="I62" i="2"/>
  <c r="L62" i="2"/>
  <c r="M62" i="2"/>
  <c r="J63" i="2"/>
  <c r="K63" i="2"/>
  <c r="I63" i="2"/>
  <c r="L63" i="2"/>
  <c r="M63" i="2"/>
  <c r="J64" i="2"/>
  <c r="K64" i="2"/>
  <c r="I64" i="2"/>
  <c r="L64" i="2"/>
  <c r="M64" i="2"/>
  <c r="J65" i="2"/>
  <c r="K65" i="2"/>
  <c r="L65" i="2"/>
  <c r="M65" i="2"/>
  <c r="F66" i="2"/>
  <c r="J66" i="2"/>
  <c r="K66" i="2"/>
  <c r="I66" i="2"/>
  <c r="L66" i="2"/>
  <c r="M66" i="2"/>
  <c r="J67" i="2"/>
  <c r="K67" i="2"/>
  <c r="I67" i="2"/>
  <c r="L67" i="2"/>
  <c r="M67" i="2"/>
  <c r="J68" i="2"/>
  <c r="K68" i="2"/>
  <c r="I68" i="2"/>
  <c r="L68" i="2"/>
  <c r="M68" i="2"/>
  <c r="F69" i="2"/>
  <c r="J69" i="2"/>
  <c r="K69" i="2"/>
  <c r="I69" i="2"/>
  <c r="L69" i="2"/>
  <c r="M69" i="2"/>
  <c r="F70" i="2"/>
  <c r="J70" i="2"/>
  <c r="K70" i="2"/>
  <c r="I70" i="2"/>
  <c r="L70" i="2"/>
  <c r="M70" i="2"/>
  <c r="J71" i="2"/>
  <c r="K71" i="2"/>
  <c r="I71" i="2"/>
  <c r="L71" i="2"/>
  <c r="M71" i="2"/>
  <c r="J72" i="2"/>
  <c r="K72" i="2"/>
  <c r="I72" i="2"/>
  <c r="L72" i="2"/>
  <c r="M72" i="2"/>
  <c r="J73" i="2"/>
  <c r="K73" i="2"/>
  <c r="I73" i="2"/>
  <c r="L73" i="2"/>
  <c r="M73" i="2"/>
  <c r="J74" i="2"/>
  <c r="K74" i="2"/>
  <c r="L74" i="2"/>
  <c r="M74" i="2"/>
  <c r="J75" i="2"/>
  <c r="K75" i="2"/>
  <c r="L75" i="2"/>
  <c r="M75" i="2"/>
  <c r="F76" i="2"/>
  <c r="J76" i="2"/>
  <c r="K76" i="2"/>
  <c r="I76" i="2"/>
  <c r="L76" i="2"/>
  <c r="M76" i="2"/>
  <c r="J77" i="2"/>
  <c r="K77" i="2"/>
  <c r="I77" i="2"/>
  <c r="L77" i="2"/>
  <c r="M77" i="2"/>
  <c r="I78" i="2"/>
  <c r="I79" i="2"/>
  <c r="J80" i="2"/>
  <c r="K80" i="2"/>
  <c r="I80" i="2"/>
  <c r="L80" i="2"/>
  <c r="M80" i="2"/>
  <c r="J81" i="2"/>
  <c r="K81" i="2"/>
  <c r="I81" i="2"/>
  <c r="L81" i="2"/>
  <c r="M81" i="2"/>
  <c r="J82" i="2"/>
  <c r="K82" i="2"/>
  <c r="I82" i="2"/>
  <c r="L82" i="2"/>
  <c r="M82" i="2"/>
  <c r="J83" i="2"/>
  <c r="K83" i="2"/>
  <c r="I83" i="2"/>
  <c r="L83" i="2"/>
  <c r="M83" i="2"/>
  <c r="J84" i="2"/>
  <c r="K84" i="2"/>
  <c r="I84" i="2"/>
  <c r="L84" i="2"/>
  <c r="M84" i="2"/>
  <c r="J85" i="2"/>
  <c r="K85" i="2"/>
  <c r="I85" i="2"/>
  <c r="L85" i="2"/>
  <c r="M85" i="2"/>
  <c r="J86" i="2"/>
  <c r="K86" i="2"/>
  <c r="I86" i="2"/>
  <c r="L86" i="2"/>
  <c r="M86" i="2"/>
  <c r="J87" i="2"/>
  <c r="K87" i="2"/>
  <c r="I87" i="2"/>
  <c r="L87" i="2"/>
  <c r="M87" i="2"/>
  <c r="F89" i="2"/>
  <c r="G88" i="2"/>
  <c r="K88" i="2"/>
  <c r="K89" i="2"/>
  <c r="I89" i="2"/>
  <c r="L89" i="2"/>
  <c r="J90" i="2"/>
  <c r="H90" i="2"/>
  <c r="K90" i="2"/>
  <c r="I90" i="2"/>
  <c r="L90" i="2"/>
  <c r="M90" i="2"/>
  <c r="F91" i="2"/>
  <c r="J91" i="2"/>
  <c r="K91" i="2"/>
  <c r="I91" i="2"/>
  <c r="L91" i="2"/>
  <c r="M91" i="2"/>
  <c r="F92" i="2"/>
  <c r="J92" i="2"/>
  <c r="K92" i="2"/>
  <c r="I92" i="2"/>
  <c r="L92" i="2"/>
  <c r="M92" i="2"/>
  <c r="F93" i="2"/>
  <c r="J93" i="2"/>
  <c r="K93" i="2"/>
  <c r="I93" i="2"/>
  <c r="L93" i="2"/>
  <c r="M93" i="2"/>
  <c r="F94" i="2"/>
  <c r="J94" i="2"/>
  <c r="K94" i="2"/>
  <c r="I94" i="2"/>
  <c r="L94" i="2"/>
  <c r="M94" i="2"/>
  <c r="J95" i="2"/>
  <c r="K95" i="2"/>
  <c r="I95" i="2"/>
  <c r="L95" i="2"/>
  <c r="M95" i="2"/>
  <c r="J96" i="2"/>
  <c r="K96" i="2"/>
  <c r="I96" i="2"/>
  <c r="L96" i="2"/>
  <c r="M96" i="2"/>
  <c r="F98" i="2"/>
  <c r="J98" i="2"/>
  <c r="F106" i="2"/>
  <c r="F97" i="2"/>
  <c r="J97" i="2"/>
  <c r="K97" i="2"/>
  <c r="K98" i="2"/>
  <c r="J99" i="2"/>
  <c r="K99" i="2"/>
  <c r="I99" i="2"/>
  <c r="L99" i="2"/>
  <c r="M99" i="2"/>
  <c r="J100" i="2"/>
  <c r="K100" i="2"/>
  <c r="I100" i="2"/>
  <c r="L100" i="2"/>
  <c r="M100" i="2"/>
  <c r="G101" i="2"/>
  <c r="J101" i="2"/>
  <c r="K101" i="2"/>
  <c r="F102" i="2"/>
  <c r="J102" i="2"/>
  <c r="K102" i="2"/>
  <c r="I102" i="2"/>
  <c r="L102" i="2"/>
  <c r="M102" i="2"/>
  <c r="F103" i="2"/>
  <c r="J103" i="2"/>
  <c r="K103" i="2"/>
  <c r="I103" i="2"/>
  <c r="L103" i="2"/>
  <c r="M103" i="2"/>
  <c r="J104" i="2"/>
  <c r="K104" i="2"/>
  <c r="I104" i="2"/>
  <c r="L104" i="2"/>
  <c r="M104" i="2"/>
  <c r="F105" i="2"/>
  <c r="J105" i="2"/>
  <c r="K105" i="2"/>
  <c r="I105" i="2"/>
  <c r="L105" i="2"/>
  <c r="M105" i="2"/>
  <c r="J106" i="2"/>
  <c r="K106" i="2"/>
  <c r="I106" i="2"/>
  <c r="L106" i="2"/>
  <c r="M106" i="2"/>
  <c r="J107" i="2"/>
  <c r="K107" i="2"/>
  <c r="I107" i="2"/>
  <c r="L107" i="2"/>
  <c r="M107" i="2"/>
  <c r="J108" i="2"/>
  <c r="K108" i="2"/>
  <c r="I108" i="2"/>
  <c r="L108" i="2"/>
  <c r="M108" i="2"/>
  <c r="J109" i="2"/>
  <c r="K109" i="2"/>
  <c r="I109" i="2"/>
  <c r="L109" i="2"/>
  <c r="M109" i="2"/>
  <c r="F110" i="2"/>
  <c r="F115" i="2"/>
  <c r="K110" i="2"/>
  <c r="J111" i="2"/>
  <c r="K111" i="2"/>
  <c r="I111" i="2"/>
  <c r="L111" i="2"/>
  <c r="M111" i="2"/>
  <c r="F112" i="2"/>
  <c r="J112" i="2"/>
  <c r="K112" i="2"/>
  <c r="I112" i="2"/>
  <c r="L112" i="2"/>
  <c r="M112" i="2"/>
  <c r="J113" i="2"/>
  <c r="K113" i="2"/>
  <c r="I113" i="2"/>
  <c r="L113" i="2"/>
  <c r="M113" i="2"/>
  <c r="J114" i="2"/>
  <c r="K114" i="2"/>
  <c r="I114" i="2"/>
  <c r="L114" i="2"/>
  <c r="M114" i="2"/>
  <c r="I115" i="2"/>
  <c r="J116" i="2"/>
  <c r="K116" i="2"/>
  <c r="L116" i="2"/>
  <c r="M116" i="2"/>
  <c r="J117" i="2"/>
  <c r="K117" i="2"/>
  <c r="L117" i="2"/>
  <c r="M117" i="2"/>
  <c r="F118" i="2"/>
  <c r="J118" i="2"/>
  <c r="K118" i="2"/>
  <c r="F119" i="2"/>
  <c r="J119" i="2"/>
  <c r="K119" i="2"/>
  <c r="I119" i="2"/>
  <c r="L119" i="2"/>
  <c r="M119" i="2"/>
  <c r="J120" i="2"/>
  <c r="K120" i="2"/>
  <c r="I120" i="2"/>
  <c r="L120" i="2"/>
  <c r="J121" i="2"/>
  <c r="K121" i="2"/>
  <c r="L121" i="2"/>
  <c r="J122" i="2"/>
  <c r="K122" i="2"/>
  <c r="I122" i="2"/>
  <c r="L122" i="2"/>
  <c r="M122" i="2"/>
  <c r="J123" i="2"/>
  <c r="K123" i="2"/>
  <c r="I123" i="2"/>
  <c r="L123" i="2"/>
  <c r="J124" i="2"/>
  <c r="K124" i="2"/>
  <c r="I124" i="2"/>
  <c r="L124" i="2"/>
  <c r="M124" i="2"/>
  <c r="J125" i="2"/>
  <c r="K125" i="2"/>
  <c r="L125" i="2"/>
  <c r="M125" i="2"/>
  <c r="G126" i="2"/>
  <c r="J126" i="2"/>
  <c r="K126" i="2"/>
  <c r="F127" i="2"/>
  <c r="J127" i="2"/>
  <c r="I127" i="2"/>
  <c r="J128" i="2"/>
  <c r="K128" i="2"/>
  <c r="I128" i="2"/>
  <c r="L128" i="2"/>
  <c r="F129" i="2"/>
  <c r="J129" i="2"/>
  <c r="I129" i="2"/>
  <c r="I130" i="2"/>
  <c r="J131" i="2"/>
  <c r="K131" i="2"/>
  <c r="I131" i="2"/>
  <c r="L131" i="2"/>
  <c r="M131" i="2"/>
  <c r="J132" i="2"/>
  <c r="K132" i="2"/>
  <c r="I132" i="2"/>
  <c r="L132" i="2"/>
  <c r="G133" i="2"/>
  <c r="K133" i="2"/>
  <c r="J134" i="2"/>
  <c r="K134" i="2"/>
  <c r="I134" i="2"/>
  <c r="L134" i="2"/>
  <c r="M134" i="2"/>
  <c r="J135" i="2"/>
  <c r="K135" i="2"/>
  <c r="I135" i="2"/>
  <c r="L135" i="2"/>
  <c r="J136" i="2"/>
  <c r="K136" i="2"/>
  <c r="I136" i="2"/>
  <c r="L136" i="2"/>
  <c r="M136" i="2"/>
  <c r="J137" i="2"/>
  <c r="K137" i="2"/>
  <c r="L137" i="2"/>
  <c r="M137" i="2"/>
  <c r="F138" i="2"/>
  <c r="J138" i="2"/>
  <c r="K138" i="2"/>
  <c r="I138" i="2"/>
  <c r="L138" i="2"/>
  <c r="M138" i="2"/>
  <c r="J139" i="2"/>
  <c r="K139" i="2"/>
  <c r="I139" i="2"/>
  <c r="L139" i="2"/>
  <c r="M139" i="2"/>
  <c r="J140" i="2"/>
  <c r="K140" i="2"/>
  <c r="I140" i="2"/>
  <c r="L140" i="2"/>
  <c r="M140" i="2"/>
  <c r="J141" i="2"/>
  <c r="K141" i="2"/>
  <c r="I141" i="2"/>
  <c r="L141" i="2"/>
  <c r="M141" i="2"/>
  <c r="J142" i="2"/>
  <c r="K142" i="2"/>
  <c r="I142" i="2"/>
  <c r="L142" i="2"/>
  <c r="M142" i="2"/>
  <c r="J143" i="2"/>
  <c r="K143" i="2"/>
  <c r="I143" i="2"/>
  <c r="L143" i="2"/>
  <c r="M143" i="2"/>
  <c r="J144" i="2"/>
  <c r="K144" i="2"/>
  <c r="I144" i="2"/>
  <c r="L144" i="2"/>
  <c r="M144" i="2"/>
  <c r="J145" i="2"/>
  <c r="K145" i="2"/>
  <c r="I145" i="2"/>
  <c r="L145" i="2"/>
  <c r="M145" i="2"/>
  <c r="J146" i="2"/>
  <c r="K146" i="2"/>
  <c r="I146" i="2"/>
  <c r="L146" i="2"/>
  <c r="M146" i="2"/>
  <c r="F147" i="2"/>
  <c r="J147" i="2"/>
  <c r="K147" i="2"/>
  <c r="I147" i="2"/>
  <c r="L147" i="2"/>
  <c r="M147" i="2"/>
  <c r="F148" i="2"/>
  <c r="J148" i="2"/>
  <c r="K148" i="2"/>
  <c r="I148" i="2"/>
  <c r="L148" i="2"/>
  <c r="M148" i="2"/>
  <c r="F149" i="2"/>
  <c r="J149" i="2"/>
  <c r="K149" i="2"/>
  <c r="I149" i="2"/>
  <c r="L149" i="2"/>
  <c r="M149" i="2"/>
  <c r="J150" i="2"/>
  <c r="K150" i="2"/>
  <c r="I150" i="2"/>
  <c r="L150" i="2"/>
  <c r="I151" i="2"/>
  <c r="F152" i="2"/>
  <c r="J152" i="2"/>
  <c r="K152" i="2"/>
  <c r="I152" i="2"/>
  <c r="L152" i="2"/>
  <c r="M152" i="2"/>
  <c r="F153" i="2"/>
  <c r="J153" i="2"/>
  <c r="K153" i="2"/>
  <c r="I153" i="2"/>
  <c r="L153" i="2"/>
  <c r="J154" i="2"/>
  <c r="K154" i="2"/>
  <c r="I154" i="2"/>
  <c r="L154" i="2"/>
  <c r="J155" i="2"/>
  <c r="K155" i="2"/>
  <c r="I155" i="2"/>
  <c r="L155" i="2"/>
  <c r="M155" i="2"/>
  <c r="F233" i="2"/>
  <c r="F185" i="2"/>
  <c r="F157" i="2"/>
  <c r="J157" i="2"/>
  <c r="K157" i="2"/>
  <c r="F158" i="2"/>
  <c r="J158" i="2"/>
  <c r="K158" i="2"/>
  <c r="I158" i="2"/>
  <c r="L158" i="2"/>
  <c r="J159" i="2"/>
  <c r="K159" i="2"/>
  <c r="I159" i="2"/>
  <c r="L159" i="2"/>
  <c r="F160" i="2"/>
  <c r="I160" i="2"/>
  <c r="F161" i="2"/>
  <c r="I161" i="2"/>
  <c r="J162" i="2"/>
  <c r="K162" i="2"/>
  <c r="I162" i="2"/>
  <c r="L162" i="2"/>
  <c r="M162" i="2"/>
  <c r="J163" i="2"/>
  <c r="K163" i="2"/>
  <c r="I163" i="2"/>
  <c r="L163" i="2"/>
  <c r="M163" i="2"/>
  <c r="J164" i="2"/>
  <c r="K164" i="2"/>
  <c r="L164" i="2"/>
  <c r="M164" i="2"/>
  <c r="F165" i="2"/>
  <c r="I165" i="2"/>
  <c r="J166" i="2"/>
  <c r="K166" i="2"/>
  <c r="I166" i="2"/>
  <c r="L166" i="2"/>
  <c r="J167" i="2"/>
  <c r="K167" i="2"/>
  <c r="I167" i="2"/>
  <c r="L167" i="2"/>
  <c r="J168" i="2"/>
  <c r="K168" i="2"/>
  <c r="I168" i="2"/>
  <c r="L168" i="2"/>
  <c r="M168" i="2"/>
  <c r="J169" i="2"/>
  <c r="K169" i="2"/>
  <c r="I169" i="2"/>
  <c r="L169" i="2"/>
  <c r="M169" i="2"/>
  <c r="J170" i="2"/>
  <c r="K170" i="2"/>
  <c r="I170" i="2"/>
  <c r="L170" i="2"/>
  <c r="J171" i="2"/>
  <c r="K171" i="2"/>
  <c r="I171" i="2"/>
  <c r="L171" i="2"/>
  <c r="J172" i="2"/>
  <c r="K172" i="2"/>
  <c r="I172" i="2"/>
  <c r="L172" i="2"/>
  <c r="M172" i="2"/>
  <c r="F173" i="2"/>
  <c r="J173" i="2"/>
  <c r="K173" i="2"/>
  <c r="I173" i="2"/>
  <c r="L173" i="2"/>
  <c r="F174" i="2"/>
  <c r="J174" i="2"/>
  <c r="K174" i="2"/>
  <c r="I174" i="2"/>
  <c r="L174" i="2"/>
  <c r="M174" i="2"/>
  <c r="F175" i="2"/>
  <c r="J175" i="2"/>
  <c r="K175" i="2"/>
  <c r="I175" i="2"/>
  <c r="L175" i="2"/>
  <c r="J176" i="2"/>
  <c r="K176" i="2"/>
  <c r="I176" i="2"/>
  <c r="L176" i="2"/>
  <c r="J177" i="2"/>
  <c r="K177" i="2"/>
  <c r="L177" i="2"/>
  <c r="J178" i="2"/>
  <c r="K178" i="2"/>
  <c r="I178" i="2"/>
  <c r="L178" i="2"/>
  <c r="F179" i="2"/>
  <c r="J179" i="2"/>
  <c r="K179" i="2"/>
  <c r="I179" i="2"/>
  <c r="L179" i="2"/>
  <c r="M179" i="2"/>
  <c r="J180" i="2"/>
  <c r="K180" i="2"/>
  <c r="I180" i="2"/>
  <c r="L180" i="2"/>
  <c r="M180" i="2"/>
  <c r="F181" i="2"/>
  <c r="I181" i="2"/>
  <c r="F182" i="2"/>
  <c r="I182" i="2"/>
  <c r="J183" i="2"/>
  <c r="K183" i="2"/>
  <c r="I183" i="2"/>
  <c r="L183" i="2"/>
  <c r="J184" i="2"/>
  <c r="K184" i="2"/>
  <c r="I184" i="2"/>
  <c r="L184" i="2"/>
  <c r="K185" i="2"/>
  <c r="J186" i="2"/>
  <c r="K186" i="2"/>
  <c r="L186" i="2"/>
  <c r="F187" i="2"/>
  <c r="I187" i="2"/>
  <c r="J188" i="2"/>
  <c r="K188" i="2"/>
  <c r="I188" i="2"/>
  <c r="L188" i="2"/>
  <c r="M188" i="2"/>
  <c r="F189" i="2"/>
  <c r="J189" i="2"/>
  <c r="K189" i="2"/>
  <c r="I189" i="2"/>
  <c r="L189" i="2"/>
  <c r="J190" i="2"/>
  <c r="K190" i="2"/>
  <c r="I190" i="2"/>
  <c r="L190" i="2"/>
  <c r="F191" i="2"/>
  <c r="I191" i="2"/>
  <c r="J192" i="2"/>
  <c r="K192" i="2"/>
  <c r="I192" i="2"/>
  <c r="L192" i="2"/>
  <c r="J193" i="2"/>
  <c r="K193" i="2"/>
  <c r="I193" i="2"/>
  <c r="L193" i="2"/>
  <c r="J194" i="2"/>
  <c r="K194" i="2"/>
  <c r="I194" i="2"/>
  <c r="L194" i="2"/>
  <c r="M194" i="2"/>
  <c r="J195" i="2"/>
  <c r="K195" i="2"/>
  <c r="I195" i="2"/>
  <c r="L195" i="2"/>
  <c r="M195" i="2"/>
  <c r="J196" i="2"/>
  <c r="K196" i="2"/>
  <c r="I196" i="2"/>
  <c r="L196" i="2"/>
  <c r="J197" i="2"/>
  <c r="K197" i="2"/>
  <c r="I197" i="2"/>
  <c r="L197" i="2"/>
  <c r="J198" i="2"/>
  <c r="K198" i="2"/>
  <c r="I198" i="2"/>
  <c r="L198" i="2"/>
  <c r="M198" i="2"/>
  <c r="J199" i="2"/>
  <c r="K199" i="2"/>
  <c r="I199" i="2"/>
  <c r="L199" i="2"/>
  <c r="M199" i="2"/>
  <c r="J200" i="2"/>
  <c r="K200" i="2"/>
  <c r="I200" i="2"/>
  <c r="L200" i="2"/>
  <c r="F201" i="2"/>
  <c r="J201" i="2"/>
  <c r="K201" i="2"/>
  <c r="I201" i="2"/>
  <c r="L201" i="2"/>
  <c r="M201" i="2"/>
  <c r="F202" i="2"/>
  <c r="J202" i="2"/>
  <c r="K202" i="2"/>
  <c r="I202" i="2"/>
  <c r="L202" i="2"/>
  <c r="F203" i="2"/>
  <c r="J203" i="2"/>
  <c r="K203" i="2"/>
  <c r="I203" i="2"/>
  <c r="L203" i="2"/>
  <c r="M203" i="2"/>
  <c r="F204" i="2"/>
  <c r="J204" i="2"/>
  <c r="K204" i="2"/>
  <c r="I204" i="2"/>
  <c r="L204" i="2"/>
  <c r="J205" i="2"/>
  <c r="K205" i="2"/>
  <c r="I205" i="2"/>
  <c r="L205" i="2"/>
  <c r="J206" i="2"/>
  <c r="K206" i="2"/>
  <c r="I206" i="2"/>
  <c r="L206" i="2"/>
  <c r="M206" i="2"/>
  <c r="F207" i="2"/>
  <c r="J207" i="2"/>
  <c r="K207" i="2"/>
  <c r="I207" i="2"/>
  <c r="L207" i="2"/>
  <c r="J208" i="2"/>
  <c r="K208" i="2"/>
  <c r="I208" i="2"/>
  <c r="L208" i="2"/>
  <c r="J209" i="2"/>
  <c r="K209" i="2"/>
  <c r="I209" i="2"/>
  <c r="L209" i="2"/>
  <c r="M209" i="2"/>
  <c r="F210" i="2"/>
  <c r="J210" i="2"/>
  <c r="K210" i="2"/>
  <c r="I210" i="2"/>
  <c r="L210" i="2"/>
  <c r="J211" i="2"/>
  <c r="K211" i="2"/>
  <c r="I211" i="2"/>
  <c r="L211" i="2"/>
  <c r="J212" i="2"/>
  <c r="K212" i="2"/>
  <c r="I212" i="2"/>
  <c r="L212" i="2"/>
  <c r="M212" i="2"/>
  <c r="J213" i="2"/>
  <c r="K213" i="2"/>
  <c r="L213" i="2"/>
  <c r="M213" i="2"/>
  <c r="J214" i="2"/>
  <c r="K214" i="2"/>
  <c r="I214" i="2"/>
  <c r="L214" i="2"/>
  <c r="M214" i="2"/>
  <c r="J215" i="2"/>
  <c r="K215" i="2"/>
  <c r="I215" i="2"/>
  <c r="L215" i="2"/>
  <c r="J216" i="2"/>
  <c r="K216" i="2"/>
  <c r="I216" i="2"/>
  <c r="L216" i="2"/>
  <c r="J217" i="2"/>
  <c r="K217" i="2"/>
  <c r="I217" i="2"/>
  <c r="L217" i="2"/>
  <c r="M217" i="2"/>
  <c r="F218" i="2"/>
  <c r="J218" i="2"/>
  <c r="K218" i="2"/>
  <c r="I218" i="2"/>
  <c r="L218" i="2"/>
  <c r="J219" i="2"/>
  <c r="K219" i="2"/>
  <c r="I219" i="2"/>
  <c r="L219" i="2"/>
  <c r="J220" i="2"/>
  <c r="K220" i="2"/>
  <c r="I220" i="2"/>
  <c r="L220" i="2"/>
  <c r="M220" i="2"/>
  <c r="F221" i="2"/>
  <c r="J221" i="2"/>
  <c r="K221" i="2"/>
  <c r="I221" i="2"/>
  <c r="L221" i="2"/>
  <c r="F222" i="2"/>
  <c r="J222" i="2"/>
  <c r="K222" i="2"/>
  <c r="I222" i="2"/>
  <c r="L222" i="2"/>
  <c r="M222" i="2"/>
  <c r="J223" i="2"/>
  <c r="K223" i="2"/>
  <c r="I223" i="2"/>
  <c r="L223" i="2"/>
  <c r="M223" i="2"/>
  <c r="J224" i="2"/>
  <c r="K224" i="2"/>
  <c r="I224" i="2"/>
  <c r="L224" i="2"/>
  <c r="J225" i="2"/>
  <c r="K225" i="2"/>
  <c r="I225" i="2"/>
  <c r="L225" i="2"/>
  <c r="F226" i="2"/>
  <c r="I226" i="2"/>
  <c r="F227" i="2"/>
  <c r="I227" i="2"/>
  <c r="H228" i="2"/>
  <c r="I228" i="2"/>
  <c r="J229" i="2"/>
  <c r="K229" i="2"/>
  <c r="I229" i="2"/>
  <c r="L229" i="2"/>
  <c r="M229" i="2"/>
  <c r="F230" i="2"/>
  <c r="J230" i="2"/>
  <c r="K230" i="2"/>
  <c r="I230" i="2"/>
  <c r="L230" i="2"/>
  <c r="J231" i="2"/>
  <c r="K231" i="2"/>
  <c r="I231" i="2"/>
  <c r="L231" i="2"/>
  <c r="F232" i="2"/>
  <c r="J232" i="2"/>
  <c r="K232" i="2"/>
  <c r="I232" i="2"/>
  <c r="L232" i="2"/>
  <c r="J233" i="2"/>
  <c r="K233" i="2"/>
  <c r="L233" i="2"/>
  <c r="J234" i="2"/>
  <c r="K234" i="2"/>
  <c r="I234" i="2"/>
  <c r="L234" i="2"/>
  <c r="M234" i="2"/>
  <c r="J235" i="2"/>
  <c r="K235" i="2"/>
  <c r="I235" i="2"/>
  <c r="L235" i="2"/>
  <c r="J236" i="2"/>
  <c r="K236" i="2"/>
  <c r="I236" i="2"/>
  <c r="L236" i="2"/>
  <c r="M236" i="2"/>
  <c r="J237" i="2"/>
  <c r="K237" i="2"/>
  <c r="I237" i="2"/>
  <c r="L237" i="2"/>
  <c r="J238" i="2"/>
  <c r="K238" i="2"/>
  <c r="I238" i="2"/>
  <c r="L238" i="2"/>
  <c r="M238" i="2"/>
  <c r="J239" i="2"/>
  <c r="K239" i="2"/>
  <c r="I239" i="2"/>
  <c r="L239" i="2"/>
  <c r="J240" i="2"/>
  <c r="K240" i="2"/>
  <c r="I240" i="2"/>
  <c r="L240" i="2"/>
  <c r="M240" i="2"/>
  <c r="J241" i="2"/>
  <c r="K241" i="2"/>
  <c r="I241" i="2"/>
  <c r="L241" i="2"/>
  <c r="J242" i="2"/>
  <c r="K242" i="2"/>
  <c r="I242" i="2"/>
  <c r="L242" i="2"/>
  <c r="M242" i="2"/>
  <c r="J243" i="2"/>
  <c r="K243" i="2"/>
  <c r="I243" i="2"/>
  <c r="L243" i="2"/>
  <c r="F244" i="2"/>
  <c r="J244" i="2"/>
  <c r="K244" i="2"/>
  <c r="I244" i="2"/>
  <c r="L244" i="2"/>
  <c r="F245" i="2"/>
  <c r="J245" i="2"/>
  <c r="K245" i="2"/>
  <c r="I245" i="2"/>
  <c r="L245" i="2"/>
  <c r="F246" i="2"/>
  <c r="J246" i="2"/>
  <c r="K246" i="2"/>
  <c r="I246" i="2"/>
  <c r="L246" i="2"/>
  <c r="F247" i="2"/>
  <c r="J247" i="2"/>
  <c r="K247" i="2"/>
  <c r="I247" i="2"/>
  <c r="L247" i="2"/>
  <c r="F248" i="2"/>
  <c r="J248" i="2"/>
  <c r="K248" i="2"/>
  <c r="I248" i="2"/>
  <c r="L248" i="2"/>
  <c r="J249" i="2"/>
  <c r="K249" i="2"/>
  <c r="I249" i="2"/>
  <c r="L249" i="2"/>
  <c r="M249" i="2"/>
  <c r="F250" i="2"/>
  <c r="J250" i="2"/>
  <c r="K250" i="2"/>
  <c r="I250" i="2"/>
  <c r="L250" i="2"/>
  <c r="F251" i="2"/>
  <c r="J251" i="2"/>
  <c r="K251" i="2"/>
  <c r="I251" i="2"/>
  <c r="L251" i="2"/>
  <c r="M251" i="2"/>
  <c r="J252" i="2"/>
  <c r="K252" i="2"/>
  <c r="I252" i="2"/>
  <c r="L252" i="2"/>
  <c r="J253" i="2"/>
  <c r="K253" i="2"/>
  <c r="L253" i="2"/>
  <c r="J254" i="2"/>
  <c r="K254" i="2"/>
  <c r="I254" i="2"/>
  <c r="L254" i="2"/>
  <c r="M254" i="2"/>
  <c r="F255" i="2"/>
  <c r="J255" i="2"/>
  <c r="K255" i="2"/>
  <c r="I255" i="2"/>
  <c r="L255" i="2"/>
  <c r="J256" i="2"/>
  <c r="K256" i="2"/>
  <c r="I256" i="2"/>
  <c r="L256" i="2"/>
  <c r="J257" i="2"/>
  <c r="K257" i="2"/>
  <c r="I257" i="2"/>
  <c r="L257" i="2"/>
  <c r="M257" i="2"/>
  <c r="F258" i="2"/>
  <c r="J258" i="2"/>
  <c r="K258" i="2"/>
  <c r="I258" i="2"/>
  <c r="L258" i="2"/>
  <c r="J259" i="2"/>
  <c r="K259" i="2"/>
  <c r="I259" i="2"/>
  <c r="L259" i="2"/>
  <c r="F260" i="2"/>
  <c r="J260" i="2"/>
  <c r="K260" i="2"/>
  <c r="I260" i="2"/>
  <c r="L260" i="2"/>
  <c r="J261" i="2"/>
  <c r="K261" i="2"/>
  <c r="I261" i="2"/>
  <c r="L261" i="2"/>
  <c r="M261" i="2"/>
  <c r="J262" i="2"/>
  <c r="K262" i="2"/>
  <c r="I262" i="2"/>
  <c r="L262" i="2"/>
  <c r="J263" i="2"/>
  <c r="K263" i="2"/>
  <c r="I263" i="2"/>
  <c r="L263" i="2"/>
  <c r="M263" i="2"/>
  <c r="J264" i="2"/>
  <c r="K264" i="2"/>
  <c r="I264" i="2"/>
  <c r="L264" i="2"/>
  <c r="J265" i="2"/>
  <c r="K265" i="2"/>
  <c r="I265" i="2"/>
  <c r="L265" i="2"/>
  <c r="M265" i="2"/>
  <c r="F266" i="2"/>
  <c r="J266" i="2"/>
  <c r="K266" i="2"/>
  <c r="I266" i="2"/>
  <c r="L266" i="2"/>
  <c r="F267" i="2"/>
  <c r="J267" i="2"/>
  <c r="K267" i="2"/>
  <c r="I267" i="2"/>
  <c r="L267" i="2"/>
  <c r="M267" i="2"/>
  <c r="F268" i="2"/>
  <c r="J268" i="2"/>
  <c r="K268" i="2"/>
  <c r="I268" i="2"/>
  <c r="L268" i="2"/>
  <c r="J269" i="2"/>
  <c r="K269" i="2"/>
  <c r="I269" i="2"/>
  <c r="L269" i="2"/>
  <c r="J270" i="2"/>
  <c r="K270" i="2"/>
  <c r="I270" i="2"/>
  <c r="L270" i="2"/>
  <c r="M270" i="2"/>
  <c r="F271" i="2"/>
  <c r="J271" i="2"/>
  <c r="K271" i="2"/>
  <c r="I271" i="2"/>
  <c r="L271" i="2"/>
  <c r="F272" i="2"/>
  <c r="J272" i="2"/>
  <c r="K272" i="2"/>
  <c r="I272" i="2"/>
  <c r="L272" i="2"/>
  <c r="M272" i="2"/>
  <c r="F273" i="2"/>
  <c r="J273" i="2"/>
  <c r="K273" i="2"/>
  <c r="I273" i="2"/>
  <c r="L273" i="2"/>
  <c r="F274" i="2"/>
  <c r="J274" i="2"/>
  <c r="K274" i="2"/>
  <c r="I274" i="2"/>
  <c r="L274" i="2"/>
  <c r="M274" i="2"/>
  <c r="J275" i="2"/>
  <c r="K275" i="2"/>
  <c r="I275" i="2"/>
  <c r="L275" i="2"/>
  <c r="J276" i="2"/>
  <c r="K276" i="2"/>
  <c r="I276" i="2"/>
  <c r="L276" i="2"/>
  <c r="M276" i="2"/>
  <c r="F277" i="2"/>
  <c r="J277" i="2"/>
  <c r="K277" i="2"/>
  <c r="I277" i="2"/>
  <c r="L277" i="2"/>
  <c r="M277" i="2"/>
  <c r="J278" i="2"/>
  <c r="K278" i="2"/>
  <c r="I278" i="2"/>
  <c r="L278" i="2"/>
  <c r="J279" i="2"/>
  <c r="K279" i="2"/>
  <c r="I279" i="2"/>
  <c r="L279" i="2"/>
  <c r="M279" i="2"/>
  <c r="J280" i="2"/>
  <c r="K280" i="2"/>
  <c r="I280" i="2"/>
  <c r="L280" i="2"/>
  <c r="F281" i="2"/>
  <c r="J281" i="2"/>
  <c r="K281" i="2"/>
  <c r="I281" i="2"/>
  <c r="L281" i="2"/>
  <c r="J282" i="2"/>
  <c r="K282" i="2"/>
  <c r="I282" i="2"/>
  <c r="L282" i="2"/>
  <c r="M282" i="2"/>
  <c r="J283" i="2"/>
  <c r="K283" i="2"/>
  <c r="I283" i="2"/>
  <c r="L283" i="2"/>
  <c r="J284" i="2"/>
  <c r="K284" i="2"/>
  <c r="I284" i="2"/>
  <c r="L284" i="2"/>
  <c r="M284" i="2"/>
  <c r="J285" i="2"/>
  <c r="K285" i="2"/>
  <c r="L285" i="2"/>
  <c r="M285" i="2"/>
  <c r="J286" i="2"/>
  <c r="K286" i="2"/>
  <c r="L286" i="2"/>
  <c r="M286" i="2"/>
  <c r="J287" i="2"/>
  <c r="K287" i="2"/>
  <c r="L287" i="2"/>
  <c r="M287" i="2"/>
  <c r="J288" i="2"/>
  <c r="K288" i="2"/>
  <c r="I288" i="2"/>
  <c r="L288" i="2"/>
  <c r="J289" i="2"/>
  <c r="K289" i="2"/>
  <c r="I289" i="2"/>
  <c r="L289" i="2"/>
  <c r="M289" i="2"/>
  <c r="J290" i="2"/>
  <c r="K290" i="2"/>
  <c r="I290" i="2"/>
  <c r="L290" i="2"/>
  <c r="J291" i="2"/>
  <c r="K291" i="2"/>
  <c r="I291" i="2"/>
  <c r="L291" i="2"/>
  <c r="M291" i="2"/>
  <c r="J292" i="2"/>
  <c r="K292" i="2"/>
  <c r="I292" i="2"/>
  <c r="L292" i="2"/>
  <c r="J293" i="2"/>
  <c r="K293" i="2"/>
  <c r="L293" i="2"/>
  <c r="J294" i="2"/>
  <c r="K294" i="2"/>
  <c r="L294" i="2"/>
  <c r="J295" i="2"/>
  <c r="K295" i="2"/>
  <c r="I295" i="2"/>
  <c r="L295" i="2"/>
  <c r="J296" i="2"/>
  <c r="K296" i="2"/>
  <c r="L296" i="2"/>
  <c r="J297" i="2"/>
  <c r="K297" i="2"/>
  <c r="L297" i="2"/>
  <c r="J298" i="2"/>
  <c r="K298" i="2"/>
  <c r="L298" i="2"/>
  <c r="J299" i="2"/>
  <c r="K299" i="2"/>
  <c r="L299" i="2"/>
  <c r="J300" i="2"/>
  <c r="K300" i="2"/>
  <c r="I300" i="2"/>
  <c r="L300" i="2"/>
  <c r="M300" i="2"/>
  <c r="J301" i="2"/>
  <c r="K301" i="2"/>
  <c r="I301" i="2"/>
  <c r="L301" i="2"/>
  <c r="J302" i="2"/>
  <c r="K302" i="2"/>
  <c r="I302" i="2"/>
  <c r="L302" i="2"/>
  <c r="M302" i="2"/>
  <c r="F303" i="2"/>
  <c r="I303" i="2"/>
  <c r="F304" i="2"/>
  <c r="I304" i="2"/>
  <c r="F305" i="2"/>
  <c r="K305" i="2"/>
  <c r="I305" i="2"/>
  <c r="F306" i="2"/>
  <c r="I306" i="2"/>
  <c r="J307" i="2"/>
  <c r="K307" i="2"/>
  <c r="L307" i="2"/>
  <c r="J308" i="2"/>
  <c r="K308" i="2"/>
  <c r="I308" i="2"/>
  <c r="L308" i="2"/>
  <c r="M308" i="2"/>
  <c r="J309" i="2"/>
  <c r="K309" i="2"/>
  <c r="I309" i="2"/>
  <c r="L309" i="2"/>
  <c r="J310" i="2"/>
  <c r="K310" i="2"/>
  <c r="I310" i="2"/>
  <c r="L310" i="2"/>
  <c r="M310" i="2"/>
  <c r="J311" i="2"/>
  <c r="K311" i="2"/>
  <c r="I311" i="2"/>
  <c r="L311" i="2"/>
  <c r="M311" i="2"/>
  <c r="J312" i="2"/>
  <c r="K312" i="2"/>
  <c r="I312" i="2"/>
  <c r="L312" i="2"/>
  <c r="M312" i="2"/>
  <c r="J313" i="2"/>
  <c r="K313" i="2"/>
  <c r="I313" i="2"/>
  <c r="L313" i="2"/>
  <c r="J314" i="2"/>
  <c r="K314" i="2"/>
  <c r="I314" i="2"/>
  <c r="L314" i="2"/>
  <c r="M314" i="2"/>
  <c r="J315" i="2"/>
  <c r="K315" i="2"/>
  <c r="I315" i="2"/>
  <c r="L315" i="2"/>
  <c r="M315" i="2"/>
  <c r="J316" i="2"/>
  <c r="K316" i="2"/>
  <c r="I316" i="2"/>
  <c r="L316" i="2"/>
  <c r="M316" i="2"/>
  <c r="J317" i="2"/>
  <c r="K317" i="2"/>
  <c r="L317" i="2"/>
  <c r="M317" i="2"/>
  <c r="J318" i="2"/>
  <c r="K318" i="2"/>
  <c r="I318" i="2"/>
  <c r="L318" i="2"/>
  <c r="J319" i="2"/>
  <c r="K319" i="2"/>
  <c r="I319" i="2"/>
  <c r="L319" i="2"/>
  <c r="M319" i="2"/>
  <c r="J320" i="2"/>
  <c r="K320" i="2"/>
  <c r="I320" i="2"/>
  <c r="L320" i="2"/>
  <c r="M320" i="2"/>
  <c r="J321" i="2"/>
  <c r="K321" i="2"/>
  <c r="I321" i="2"/>
  <c r="L321" i="2"/>
  <c r="M321" i="2"/>
  <c r="J322" i="2"/>
  <c r="K322" i="2"/>
  <c r="I322" i="2"/>
  <c r="L322" i="2"/>
  <c r="J323" i="2"/>
  <c r="K323" i="2"/>
  <c r="I323" i="2"/>
  <c r="L323" i="2"/>
  <c r="M323" i="2"/>
  <c r="J324" i="2"/>
  <c r="K324" i="2"/>
  <c r="I324" i="2"/>
  <c r="L324" i="2"/>
  <c r="M324" i="2"/>
  <c r="J325" i="2"/>
  <c r="K325" i="2"/>
  <c r="I325" i="2"/>
  <c r="L325" i="2"/>
  <c r="M325" i="2"/>
  <c r="J326" i="2"/>
  <c r="K326" i="2"/>
  <c r="I326" i="2"/>
  <c r="L326" i="2"/>
  <c r="J327" i="2"/>
  <c r="K327" i="2"/>
  <c r="I327" i="2"/>
  <c r="L327" i="2"/>
  <c r="M327" i="2"/>
  <c r="J328" i="2"/>
  <c r="K328" i="2"/>
  <c r="I328" i="2"/>
  <c r="L328" i="2"/>
  <c r="M328" i="2"/>
  <c r="J329" i="2"/>
  <c r="K329" i="2"/>
  <c r="I329" i="2"/>
  <c r="L329" i="2"/>
  <c r="M329" i="2"/>
  <c r="F330" i="2"/>
  <c r="J330" i="2"/>
  <c r="K330" i="2"/>
  <c r="I330" i="2"/>
  <c r="L330" i="2"/>
  <c r="M330" i="2"/>
  <c r="F331" i="2"/>
  <c r="J331" i="2"/>
  <c r="K331" i="2"/>
  <c r="I331" i="2"/>
  <c r="L331" i="2"/>
  <c r="M331" i="2"/>
  <c r="J332" i="2"/>
  <c r="K332" i="2"/>
  <c r="I332" i="2"/>
  <c r="L332" i="2"/>
  <c r="J333" i="2"/>
  <c r="K333" i="2"/>
  <c r="I333" i="2"/>
  <c r="L333" i="2"/>
  <c r="M333" i="2"/>
  <c r="J334" i="2"/>
  <c r="K334" i="2"/>
  <c r="I334" i="2"/>
  <c r="L334" i="2"/>
  <c r="M334" i="2"/>
  <c r="J335" i="2"/>
  <c r="K335" i="2"/>
  <c r="I335" i="2"/>
  <c r="L335" i="2"/>
  <c r="M335" i="2"/>
  <c r="J336" i="2"/>
  <c r="K336" i="2"/>
  <c r="I336" i="2"/>
  <c r="L336" i="2"/>
  <c r="J337" i="2"/>
  <c r="K337" i="2"/>
  <c r="I337" i="2"/>
  <c r="L337" i="2"/>
  <c r="M337" i="2"/>
  <c r="F338" i="2"/>
  <c r="J338" i="2"/>
  <c r="K338" i="2"/>
  <c r="I338" i="2"/>
  <c r="L338" i="2"/>
  <c r="M338" i="2"/>
  <c r="J339" i="2"/>
  <c r="K339" i="2"/>
  <c r="I339" i="2"/>
  <c r="L339" i="2"/>
  <c r="J340" i="2"/>
  <c r="K340" i="2"/>
  <c r="I340" i="2"/>
  <c r="L340" i="2"/>
  <c r="M340" i="2"/>
  <c r="J341" i="2"/>
  <c r="K341" i="2"/>
  <c r="I341" i="2"/>
  <c r="L341" i="2"/>
  <c r="M341" i="2"/>
  <c r="J342" i="2"/>
  <c r="K342" i="2"/>
  <c r="I342" i="2"/>
  <c r="L342" i="2"/>
  <c r="M342" i="2"/>
  <c r="J343" i="2"/>
  <c r="K343" i="2"/>
  <c r="L343" i="2"/>
  <c r="M343" i="2"/>
  <c r="F344" i="2"/>
  <c r="J344" i="2"/>
  <c r="K344" i="2"/>
  <c r="I344" i="2"/>
  <c r="L344" i="2"/>
  <c r="M344" i="2"/>
  <c r="J345" i="2"/>
  <c r="K345" i="2"/>
  <c r="I345" i="2"/>
  <c r="L345" i="2"/>
  <c r="M345" i="2"/>
  <c r="J346" i="2"/>
  <c r="K346" i="2"/>
  <c r="I346" i="2"/>
  <c r="L346" i="2"/>
  <c r="M346" i="2"/>
  <c r="J347" i="2"/>
  <c r="K347" i="2"/>
  <c r="I347" i="2"/>
  <c r="L347" i="2"/>
  <c r="F348" i="2"/>
  <c r="I348" i="2"/>
  <c r="J349" i="2"/>
  <c r="K349" i="2"/>
  <c r="I349" i="2"/>
  <c r="L349" i="2"/>
  <c r="M349" i="2"/>
  <c r="J350" i="2"/>
  <c r="K350" i="2"/>
  <c r="I350" i="2"/>
  <c r="L350" i="2"/>
  <c r="J351" i="2"/>
  <c r="K351" i="2"/>
  <c r="I351" i="2"/>
  <c r="L351" i="2"/>
  <c r="M351" i="2"/>
  <c r="J352" i="2"/>
  <c r="K352" i="2"/>
  <c r="I352" i="2"/>
  <c r="L352" i="2"/>
  <c r="M352" i="2"/>
  <c r="J353" i="2"/>
  <c r="K353" i="2"/>
  <c r="I353" i="2"/>
  <c r="L353" i="2"/>
  <c r="M353" i="2"/>
  <c r="J354" i="2"/>
  <c r="K354" i="2"/>
  <c r="I354" i="2"/>
  <c r="L354" i="2"/>
  <c r="J355" i="2"/>
  <c r="K355" i="2"/>
  <c r="I355" i="2"/>
  <c r="L355" i="2"/>
  <c r="M355" i="2"/>
  <c r="J356" i="2"/>
  <c r="K356" i="2"/>
  <c r="I356" i="2"/>
  <c r="L356" i="2"/>
  <c r="M356" i="2"/>
  <c r="J357" i="2"/>
  <c r="K357" i="2"/>
  <c r="I357" i="2"/>
  <c r="L357" i="2"/>
  <c r="M357" i="2"/>
  <c r="J358" i="2"/>
  <c r="K358" i="2"/>
  <c r="I358" i="2"/>
  <c r="L358" i="2"/>
  <c r="J359" i="2"/>
  <c r="K359" i="2"/>
  <c r="I359" i="2"/>
  <c r="L359" i="2"/>
  <c r="M359" i="2"/>
  <c r="J360" i="2"/>
  <c r="K360" i="2"/>
  <c r="I360" i="2"/>
  <c r="L360" i="2"/>
  <c r="M360" i="2"/>
  <c r="J361" i="2"/>
  <c r="K361" i="2"/>
  <c r="I361" i="2"/>
  <c r="L361" i="2"/>
  <c r="M361" i="2"/>
  <c r="J362" i="2"/>
  <c r="K362" i="2"/>
  <c r="I362" i="2"/>
  <c r="L362" i="2"/>
  <c r="J363" i="2"/>
  <c r="K363" i="2"/>
  <c r="I363" i="2"/>
  <c r="L363" i="2"/>
  <c r="M363" i="2"/>
  <c r="J364" i="2"/>
  <c r="K364" i="2"/>
  <c r="I364" i="2"/>
  <c r="L364" i="2"/>
  <c r="M364" i="2"/>
  <c r="F365" i="2"/>
  <c r="I365" i="2"/>
  <c r="F366" i="2"/>
  <c r="I366" i="2"/>
  <c r="F367" i="2"/>
  <c r="I367" i="2"/>
  <c r="J368" i="2"/>
  <c r="K368" i="2"/>
  <c r="I368" i="2"/>
  <c r="L368" i="2"/>
  <c r="M368" i="2"/>
  <c r="J369" i="2"/>
  <c r="K369" i="2"/>
  <c r="I369" i="2"/>
  <c r="L369" i="2"/>
  <c r="M369" i="2"/>
  <c r="F370" i="2"/>
  <c r="I370" i="2"/>
  <c r="J371" i="2"/>
  <c r="K371" i="2"/>
  <c r="I371" i="2"/>
  <c r="L371" i="2"/>
  <c r="M371" i="2"/>
  <c r="J372" i="2"/>
  <c r="K372" i="2"/>
  <c r="I372" i="2"/>
  <c r="L372" i="2"/>
  <c r="M372" i="2"/>
  <c r="J373" i="2"/>
  <c r="K373" i="2"/>
  <c r="I373" i="2"/>
  <c r="L373" i="2"/>
  <c r="M373" i="2"/>
  <c r="J374" i="2"/>
  <c r="K374" i="2"/>
  <c r="I374" i="2"/>
  <c r="L374" i="2"/>
  <c r="J375" i="2"/>
  <c r="K375" i="2"/>
  <c r="L375" i="2"/>
  <c r="J376" i="2"/>
  <c r="K376" i="2"/>
  <c r="L376" i="2"/>
  <c r="M376" i="2"/>
  <c r="J377" i="2"/>
  <c r="K377" i="2"/>
  <c r="I377" i="2"/>
  <c r="L377" i="2"/>
  <c r="M377" i="2"/>
  <c r="J378" i="2"/>
  <c r="K378" i="2"/>
  <c r="I378" i="2"/>
  <c r="L378" i="2"/>
  <c r="M378" i="2"/>
  <c r="J379" i="2"/>
  <c r="K379" i="2"/>
  <c r="I379" i="2"/>
  <c r="L379" i="2"/>
  <c r="M379" i="2"/>
  <c r="F380" i="2"/>
  <c r="J380" i="2"/>
  <c r="K380" i="2"/>
  <c r="I380" i="2"/>
  <c r="L380" i="2"/>
  <c r="M380" i="2"/>
  <c r="F381" i="2"/>
  <c r="J381" i="2"/>
  <c r="K381" i="2"/>
  <c r="I381" i="2"/>
  <c r="L381" i="2"/>
  <c r="M381" i="2"/>
  <c r="F382" i="2"/>
  <c r="J382" i="2"/>
  <c r="K382" i="2"/>
  <c r="I382" i="2"/>
  <c r="L382" i="2"/>
  <c r="M382" i="2"/>
  <c r="F383" i="2"/>
  <c r="J383" i="2"/>
  <c r="K383" i="2"/>
  <c r="I383" i="2"/>
  <c r="L383" i="2"/>
  <c r="M383" i="2"/>
  <c r="J384" i="2"/>
  <c r="K384" i="2"/>
  <c r="I384" i="2"/>
  <c r="L384" i="2"/>
  <c r="J385" i="2"/>
  <c r="K385" i="2"/>
  <c r="I385" i="2"/>
  <c r="L385" i="2"/>
  <c r="M385" i="2"/>
  <c r="J386" i="2"/>
  <c r="K386" i="2"/>
  <c r="I386" i="2"/>
  <c r="L386" i="2"/>
  <c r="M386" i="2"/>
  <c r="J387" i="2"/>
  <c r="K387" i="2"/>
  <c r="I387" i="2"/>
  <c r="L387" i="2"/>
  <c r="M387" i="2"/>
  <c r="J388" i="2"/>
  <c r="K388" i="2"/>
  <c r="I388" i="2"/>
  <c r="L388" i="2"/>
  <c r="J389" i="2"/>
  <c r="K389" i="2"/>
  <c r="I389" i="2"/>
  <c r="L389" i="2"/>
  <c r="M389" i="2"/>
  <c r="J390" i="2"/>
  <c r="K390" i="2"/>
  <c r="I390" i="2"/>
  <c r="L390" i="2"/>
  <c r="M390" i="2"/>
  <c r="J391" i="2"/>
  <c r="K391" i="2"/>
  <c r="I391" i="2"/>
  <c r="L391" i="2"/>
  <c r="M391" i="2"/>
  <c r="J392" i="2"/>
  <c r="K392" i="2"/>
  <c r="I392" i="2"/>
  <c r="L392" i="2"/>
  <c r="J393" i="2"/>
  <c r="K393" i="2"/>
  <c r="L393" i="2"/>
  <c r="J394" i="2"/>
  <c r="K394" i="2"/>
  <c r="L394" i="2"/>
  <c r="M394" i="2"/>
  <c r="J395" i="2"/>
  <c r="K395" i="2"/>
  <c r="L395" i="2"/>
  <c r="J396" i="2"/>
  <c r="K396" i="2"/>
  <c r="L396" i="2"/>
  <c r="M396" i="2"/>
  <c r="F397" i="2"/>
  <c r="I397" i="2"/>
  <c r="J398" i="2"/>
  <c r="K398" i="2"/>
  <c r="I398" i="2"/>
  <c r="L398" i="2"/>
  <c r="M398" i="2"/>
  <c r="J399" i="2"/>
  <c r="K399" i="2"/>
  <c r="I399" i="2"/>
  <c r="L399" i="2"/>
  <c r="J400" i="2"/>
  <c r="K400" i="2"/>
  <c r="I400" i="2"/>
  <c r="L400" i="2"/>
  <c r="M400" i="2"/>
  <c r="F401" i="2"/>
  <c r="J401" i="2"/>
  <c r="K401" i="2"/>
  <c r="I401" i="2"/>
  <c r="L401" i="2"/>
  <c r="M401" i="2"/>
  <c r="J402" i="2"/>
  <c r="K402" i="2"/>
  <c r="I402" i="2"/>
  <c r="L402" i="2"/>
  <c r="J403" i="2"/>
  <c r="K403" i="2"/>
  <c r="I403" i="2"/>
  <c r="L403" i="2"/>
  <c r="M403" i="2"/>
  <c r="J404" i="2"/>
  <c r="K404" i="2"/>
  <c r="I404" i="2"/>
  <c r="L404" i="2"/>
  <c r="M404" i="2"/>
  <c r="F405" i="2"/>
  <c r="I405" i="2"/>
  <c r="J406" i="2"/>
  <c r="K406" i="2"/>
  <c r="L406" i="2"/>
  <c r="F407" i="2"/>
  <c r="I407" i="2"/>
  <c r="I408" i="2"/>
  <c r="J409" i="2"/>
  <c r="K409" i="2"/>
  <c r="I409" i="2"/>
  <c r="L409" i="2"/>
  <c r="M409" i="2"/>
  <c r="J410" i="2"/>
  <c r="K410" i="2"/>
  <c r="I410" i="2"/>
  <c r="L410" i="2"/>
  <c r="J411" i="2"/>
  <c r="K411" i="2"/>
  <c r="I411" i="2"/>
  <c r="L411" i="2"/>
  <c r="M411" i="2"/>
  <c r="J412" i="2"/>
  <c r="K412" i="2"/>
  <c r="L412" i="2"/>
  <c r="M412" i="2"/>
  <c r="J413" i="2"/>
  <c r="K413" i="2"/>
  <c r="L413" i="2"/>
  <c r="M413" i="2"/>
  <c r="J414" i="2"/>
  <c r="K414" i="2"/>
  <c r="L414" i="2"/>
  <c r="M414" i="2"/>
  <c r="F434" i="2"/>
  <c r="F415" i="2"/>
  <c r="I415" i="2"/>
  <c r="J416" i="2"/>
  <c r="K416" i="2"/>
  <c r="I416" i="2"/>
  <c r="L416" i="2"/>
  <c r="M416" i="2"/>
  <c r="J417" i="2"/>
  <c r="K417" i="2"/>
  <c r="I417" i="2"/>
  <c r="L417" i="2"/>
  <c r="M417" i="2"/>
  <c r="F418" i="2"/>
  <c r="I418" i="2"/>
  <c r="I419" i="2"/>
  <c r="J420" i="2"/>
  <c r="K420" i="2"/>
  <c r="I420" i="2"/>
  <c r="L420" i="2"/>
  <c r="M420" i="2"/>
  <c r="J421" i="2"/>
  <c r="K421" i="2"/>
  <c r="I421" i="2"/>
  <c r="L421" i="2"/>
  <c r="J422" i="2"/>
  <c r="K422" i="2"/>
  <c r="I422" i="2"/>
  <c r="L422" i="2"/>
  <c r="M422" i="2"/>
  <c r="F423" i="2"/>
  <c r="J423" i="2"/>
  <c r="K423" i="2"/>
  <c r="I423" i="2"/>
  <c r="L423" i="2"/>
  <c r="M423" i="2"/>
  <c r="F424" i="2"/>
  <c r="J424" i="2"/>
  <c r="K424" i="2"/>
  <c r="I424" i="2"/>
  <c r="L424" i="2"/>
  <c r="M424" i="2"/>
  <c r="F425" i="2"/>
  <c r="J425" i="2"/>
  <c r="K425" i="2"/>
  <c r="I425" i="2"/>
  <c r="L425" i="2"/>
  <c r="M425" i="2"/>
  <c r="F426" i="2"/>
  <c r="J426" i="2"/>
  <c r="K426" i="2"/>
  <c r="I426" i="2"/>
  <c r="L426" i="2"/>
  <c r="M426" i="2"/>
  <c r="F427" i="2"/>
  <c r="J427" i="2"/>
  <c r="K427" i="2"/>
  <c r="I427" i="2"/>
  <c r="L427" i="2"/>
  <c r="M427" i="2"/>
  <c r="F428" i="2"/>
  <c r="J428" i="2"/>
  <c r="K428" i="2"/>
  <c r="I428" i="2"/>
  <c r="L428" i="2"/>
  <c r="M428" i="2"/>
  <c r="F429" i="2"/>
  <c r="J429" i="2"/>
  <c r="K429" i="2"/>
  <c r="I429" i="2"/>
  <c r="L429" i="2"/>
  <c r="M429" i="2"/>
  <c r="F430" i="2"/>
  <c r="J430" i="2"/>
  <c r="K430" i="2"/>
  <c r="I430" i="2"/>
  <c r="L430" i="2"/>
  <c r="M430" i="2"/>
  <c r="F431" i="2"/>
  <c r="J431" i="2"/>
  <c r="K431" i="2"/>
  <c r="I431" i="2"/>
  <c r="L431" i="2"/>
  <c r="M431" i="2"/>
  <c r="F432" i="2"/>
  <c r="J432" i="2"/>
  <c r="K432" i="2"/>
  <c r="I432" i="2"/>
  <c r="L432" i="2"/>
  <c r="M432" i="2"/>
  <c r="J433" i="2"/>
  <c r="K433" i="2"/>
  <c r="I433" i="2"/>
  <c r="L433" i="2"/>
  <c r="J434" i="2"/>
  <c r="K434" i="2"/>
  <c r="I434" i="2"/>
  <c r="L434" i="2"/>
  <c r="J435" i="2"/>
  <c r="K435" i="2"/>
  <c r="I435" i="2"/>
  <c r="L435" i="2"/>
  <c r="F436" i="2"/>
  <c r="J436" i="2"/>
  <c r="I436" i="2"/>
  <c r="J437" i="2"/>
  <c r="K437" i="2"/>
  <c r="I437" i="2"/>
  <c r="L437" i="2"/>
  <c r="J438" i="2"/>
  <c r="K438" i="2"/>
  <c r="I438" i="2"/>
  <c r="L438" i="2"/>
  <c r="J439" i="2"/>
  <c r="K439" i="2"/>
  <c r="I439" i="2"/>
  <c r="L439" i="2"/>
  <c r="M439" i="2"/>
  <c r="J440" i="2"/>
  <c r="K440" i="2"/>
  <c r="I440" i="2"/>
  <c r="L440" i="2"/>
  <c r="J441" i="2"/>
  <c r="K441" i="2"/>
  <c r="I441" i="2"/>
  <c r="L441" i="2"/>
  <c r="J442" i="2"/>
  <c r="K442" i="2"/>
  <c r="I442" i="2"/>
  <c r="L442" i="2"/>
  <c r="J443" i="2"/>
  <c r="K443" i="2"/>
  <c r="I443" i="2"/>
  <c r="L443" i="2"/>
  <c r="M443" i="2"/>
  <c r="J444" i="2"/>
  <c r="K444" i="2"/>
  <c r="I444" i="2"/>
  <c r="L444" i="2"/>
  <c r="J445" i="2"/>
  <c r="K445" i="2"/>
  <c r="L445" i="2"/>
  <c r="J446" i="2"/>
  <c r="K446" i="2"/>
  <c r="L446" i="2"/>
  <c r="F447" i="2"/>
  <c r="K447" i="2"/>
  <c r="I447" i="2"/>
  <c r="L447" i="2"/>
  <c r="J448" i="2"/>
  <c r="K448" i="2"/>
  <c r="I448" i="2"/>
  <c r="L448" i="2"/>
  <c r="I449" i="2"/>
  <c r="I450" i="2"/>
  <c r="F451" i="2"/>
  <c r="J451" i="2"/>
  <c r="I451" i="2"/>
  <c r="J452" i="2"/>
  <c r="K452" i="2"/>
  <c r="I452" i="2"/>
  <c r="L452" i="2"/>
  <c r="M452" i="2"/>
  <c r="F453" i="2"/>
  <c r="J453" i="2"/>
  <c r="K453" i="2"/>
  <c r="I453" i="2"/>
  <c r="L453" i="2"/>
  <c r="M453" i="2"/>
  <c r="J454" i="2"/>
  <c r="K454" i="2"/>
  <c r="I454" i="2"/>
  <c r="L454" i="2"/>
  <c r="F455" i="2"/>
  <c r="J455" i="2"/>
  <c r="I455" i="2"/>
  <c r="J456" i="2"/>
  <c r="K456" i="2"/>
  <c r="I456" i="2"/>
  <c r="L456" i="2"/>
  <c r="M456" i="2"/>
  <c r="F457" i="2"/>
  <c r="J457" i="2"/>
  <c r="K457" i="2"/>
  <c r="I457" i="2"/>
  <c r="L457" i="2"/>
  <c r="M457" i="2"/>
  <c r="F458" i="2"/>
  <c r="J458" i="2"/>
  <c r="K458" i="2"/>
  <c r="I458" i="2"/>
  <c r="L458" i="2"/>
  <c r="F459" i="2"/>
  <c r="J459" i="2"/>
  <c r="K459" i="2"/>
  <c r="I459" i="2"/>
  <c r="L459" i="2"/>
  <c r="M459" i="2"/>
  <c r="J460" i="2"/>
  <c r="K460" i="2"/>
  <c r="I460" i="2"/>
  <c r="L460" i="2"/>
  <c r="F461" i="2"/>
  <c r="J461" i="2"/>
  <c r="I461" i="2"/>
  <c r="J462" i="2"/>
  <c r="K462" i="2"/>
  <c r="I462" i="2"/>
  <c r="L462" i="2"/>
  <c r="M462" i="2"/>
  <c r="J463" i="2"/>
  <c r="K463" i="2"/>
  <c r="I463" i="2"/>
  <c r="L463" i="2"/>
  <c r="I464" i="2"/>
  <c r="J465" i="2"/>
  <c r="K465" i="2"/>
  <c r="L465" i="2"/>
  <c r="J466" i="2"/>
  <c r="K466" i="2"/>
  <c r="I466" i="2"/>
  <c r="L466" i="2"/>
  <c r="M466" i="2"/>
  <c r="F485" i="2"/>
  <c r="F467" i="2"/>
  <c r="I467" i="2"/>
  <c r="J468" i="2"/>
  <c r="K468" i="2"/>
  <c r="I468" i="2"/>
  <c r="L468" i="2"/>
  <c r="M468" i="2"/>
  <c r="J469" i="2"/>
  <c r="K469" i="2"/>
  <c r="I469" i="2"/>
  <c r="L469" i="2"/>
  <c r="I470" i="2"/>
  <c r="J471" i="2"/>
  <c r="K471" i="2"/>
  <c r="L471" i="2"/>
  <c r="M471" i="2"/>
  <c r="J472" i="2"/>
  <c r="K472" i="2"/>
  <c r="I472" i="2"/>
  <c r="L472" i="2"/>
  <c r="J473" i="2"/>
  <c r="K473" i="2"/>
  <c r="I473" i="2"/>
  <c r="L473" i="2"/>
  <c r="M473" i="2"/>
  <c r="F474" i="2"/>
  <c r="J474" i="2"/>
  <c r="K474" i="2"/>
  <c r="I474" i="2"/>
  <c r="L474" i="2"/>
  <c r="M474" i="2"/>
  <c r="J475" i="2"/>
  <c r="K475" i="2"/>
  <c r="I475" i="2"/>
  <c r="L475" i="2"/>
  <c r="F476" i="2"/>
  <c r="I476" i="2"/>
  <c r="J477" i="2"/>
  <c r="K477" i="2"/>
  <c r="I477" i="2"/>
  <c r="L477" i="2"/>
  <c r="M477" i="2"/>
  <c r="F478" i="2"/>
  <c r="J478" i="2"/>
  <c r="K478" i="2"/>
  <c r="I478" i="2"/>
  <c r="L478" i="2"/>
  <c r="M478" i="2"/>
  <c r="F479" i="2"/>
  <c r="J479" i="2"/>
  <c r="K479" i="2"/>
  <c r="I479" i="2"/>
  <c r="L479" i="2"/>
  <c r="M479" i="2"/>
  <c r="F480" i="2"/>
  <c r="J480" i="2"/>
  <c r="K480" i="2"/>
  <c r="I480" i="2"/>
  <c r="L480" i="2"/>
  <c r="M480" i="2"/>
  <c r="F481" i="2"/>
  <c r="J481" i="2"/>
  <c r="K481" i="2"/>
  <c r="I481" i="2"/>
  <c r="L481" i="2"/>
  <c r="M481" i="2"/>
  <c r="J482" i="2"/>
  <c r="K482" i="2"/>
  <c r="I482" i="2"/>
  <c r="L482" i="2"/>
  <c r="F483" i="2"/>
  <c r="I483" i="2"/>
  <c r="F484" i="2"/>
  <c r="I484" i="2"/>
  <c r="J485" i="2"/>
  <c r="I485" i="2"/>
  <c r="J486" i="2"/>
  <c r="K486" i="2"/>
  <c r="I486" i="2"/>
  <c r="L486" i="2"/>
  <c r="M486" i="2"/>
  <c r="J487" i="2"/>
  <c r="K487" i="2"/>
  <c r="I487" i="2"/>
  <c r="L487" i="2"/>
  <c r="I488" i="2"/>
  <c r="J489" i="2"/>
  <c r="K489" i="2"/>
  <c r="L489" i="2"/>
  <c r="M489" i="2"/>
  <c r="F490" i="2"/>
  <c r="J490" i="2"/>
  <c r="K490" i="2"/>
  <c r="I490" i="2"/>
  <c r="L490" i="2"/>
  <c r="M490" i="2"/>
  <c r="J491" i="2"/>
  <c r="K491" i="2"/>
  <c r="I491" i="2"/>
  <c r="L491" i="2"/>
  <c r="F492" i="2"/>
  <c r="I492" i="2"/>
  <c r="F493" i="2"/>
  <c r="I493" i="2"/>
  <c r="J494" i="2"/>
  <c r="K494" i="2"/>
  <c r="I494" i="2"/>
  <c r="L494" i="2"/>
  <c r="M494" i="2"/>
  <c r="F495" i="2"/>
  <c r="J495" i="2"/>
  <c r="K495" i="2"/>
  <c r="I495" i="2"/>
  <c r="L495" i="2"/>
  <c r="M495" i="2"/>
  <c r="J496" i="2"/>
  <c r="K496" i="2"/>
  <c r="I496" i="2"/>
  <c r="L496" i="2"/>
  <c r="J497" i="2"/>
  <c r="K497" i="2"/>
  <c r="I497" i="2"/>
  <c r="L497" i="2"/>
  <c r="M497" i="2"/>
  <c r="J498" i="2"/>
  <c r="K498" i="2"/>
  <c r="I498" i="2"/>
  <c r="L498" i="2"/>
  <c r="M498" i="2"/>
  <c r="F499" i="2"/>
  <c r="I499" i="2"/>
  <c r="J500" i="2"/>
  <c r="K500" i="2"/>
  <c r="I500" i="2"/>
  <c r="L500" i="2"/>
  <c r="M500" i="2"/>
  <c r="F501" i="2"/>
  <c r="J501" i="2"/>
  <c r="K501" i="2"/>
  <c r="I501" i="2"/>
  <c r="L501" i="2"/>
  <c r="M501" i="2"/>
  <c r="F502" i="2"/>
  <c r="J502" i="2"/>
  <c r="K502" i="2"/>
  <c r="I502" i="2"/>
  <c r="L502" i="2"/>
  <c r="M502" i="2"/>
  <c r="F503" i="2"/>
  <c r="J503" i="2"/>
  <c r="K503" i="2"/>
  <c r="I503" i="2"/>
  <c r="L503" i="2"/>
  <c r="M503" i="2"/>
  <c r="F504" i="2"/>
  <c r="J504" i="2"/>
  <c r="K504" i="2"/>
  <c r="I504" i="2"/>
  <c r="L504" i="2"/>
  <c r="M504" i="2"/>
  <c r="J505" i="2"/>
  <c r="K505" i="2"/>
  <c r="I505" i="2"/>
  <c r="L505" i="2"/>
  <c r="M505" i="2"/>
  <c r="J506" i="2"/>
  <c r="K506" i="2"/>
  <c r="I506" i="2"/>
  <c r="L506" i="2"/>
  <c r="M506" i="2"/>
  <c r="F507" i="2"/>
  <c r="J507" i="2"/>
  <c r="K507" i="2"/>
  <c r="I507" i="2"/>
  <c r="L507" i="2"/>
  <c r="M507" i="2"/>
  <c r="J508" i="2"/>
  <c r="K508" i="2"/>
  <c r="I508" i="2"/>
  <c r="L508" i="2"/>
  <c r="M508" i="2"/>
  <c r="J509" i="2"/>
  <c r="K509" i="2"/>
  <c r="I509" i="2"/>
  <c r="L509" i="2"/>
  <c r="M509" i="2"/>
  <c r="F510" i="2"/>
  <c r="J510" i="2"/>
  <c r="K510" i="2"/>
  <c r="I510" i="2"/>
  <c r="L510" i="2"/>
  <c r="M510" i="2"/>
  <c r="F511" i="2"/>
  <c r="J511" i="2"/>
  <c r="K511" i="2"/>
  <c r="I511" i="2"/>
  <c r="L511" i="2"/>
  <c r="M511" i="2"/>
  <c r="J512" i="2"/>
  <c r="K512" i="2"/>
  <c r="I512" i="2"/>
  <c r="L512" i="2"/>
  <c r="J513" i="2"/>
  <c r="K513" i="2"/>
  <c r="L513" i="2"/>
  <c r="J514" i="2"/>
  <c r="K514" i="2"/>
  <c r="I514" i="2"/>
  <c r="L514" i="2"/>
  <c r="M514" i="2"/>
  <c r="F515" i="2"/>
  <c r="J515" i="2"/>
  <c r="K515" i="2"/>
  <c r="I515" i="2"/>
  <c r="L515" i="2"/>
  <c r="M515" i="2"/>
  <c r="J516" i="2"/>
  <c r="K516" i="2"/>
  <c r="I516" i="2"/>
  <c r="L516" i="2"/>
  <c r="M516" i="2"/>
  <c r="F517" i="2"/>
  <c r="I517" i="2"/>
  <c r="J518" i="2"/>
  <c r="K518" i="2"/>
  <c r="L518" i="2"/>
  <c r="J519" i="2"/>
  <c r="K519" i="2"/>
  <c r="I519" i="2"/>
  <c r="L519" i="2"/>
  <c r="M519" i="2"/>
  <c r="F520" i="2"/>
  <c r="J520" i="2"/>
  <c r="K520" i="2"/>
  <c r="I520" i="2"/>
  <c r="L520" i="2"/>
  <c r="M520" i="2"/>
  <c r="F521" i="2"/>
  <c r="J521" i="2"/>
  <c r="K521" i="2"/>
  <c r="I521" i="2"/>
  <c r="L521" i="2"/>
  <c r="M521" i="2"/>
  <c r="F522" i="2"/>
  <c r="J522" i="2"/>
  <c r="K522" i="2"/>
  <c r="I522" i="2"/>
  <c r="L522" i="2"/>
  <c r="M522" i="2"/>
  <c r="F523" i="2"/>
  <c r="J523" i="2"/>
  <c r="K523" i="2"/>
  <c r="I523" i="2"/>
  <c r="L523" i="2"/>
  <c r="M523" i="2"/>
  <c r="F524" i="2"/>
  <c r="J524" i="2"/>
  <c r="K524" i="2"/>
  <c r="I524" i="2"/>
  <c r="L524" i="2"/>
  <c r="M524" i="2"/>
  <c r="J525" i="2"/>
  <c r="K525" i="2"/>
  <c r="I525" i="2"/>
  <c r="L525" i="2"/>
  <c r="M525" i="2"/>
  <c r="J526" i="2"/>
  <c r="K526" i="2"/>
  <c r="I526" i="2"/>
  <c r="L526" i="2"/>
  <c r="M526" i="2"/>
  <c r="F527" i="2"/>
  <c r="J527" i="2"/>
  <c r="K527" i="2"/>
  <c r="I527" i="2"/>
  <c r="L527" i="2"/>
  <c r="M527" i="2"/>
  <c r="J528" i="2"/>
  <c r="K528" i="2"/>
  <c r="I528" i="2"/>
  <c r="L528" i="2"/>
  <c r="M528" i="2"/>
  <c r="J529" i="2"/>
  <c r="K529" i="2"/>
  <c r="I529" i="2"/>
  <c r="L529" i="2"/>
  <c r="M529" i="2"/>
  <c r="J530" i="2"/>
  <c r="K530" i="2"/>
  <c r="I530" i="2"/>
  <c r="L530" i="2"/>
  <c r="F531" i="2"/>
  <c r="I531" i="2"/>
  <c r="J532" i="2"/>
  <c r="K532" i="2"/>
  <c r="L532" i="2"/>
  <c r="M532" i="2"/>
  <c r="J533" i="2"/>
  <c r="K533" i="2"/>
  <c r="L533" i="2"/>
  <c r="F546" i="2"/>
  <c r="F534" i="2"/>
  <c r="I534" i="2"/>
  <c r="J535" i="2"/>
  <c r="K535" i="2"/>
  <c r="I535" i="2"/>
  <c r="L535" i="2"/>
  <c r="J536" i="2"/>
  <c r="K536" i="2"/>
  <c r="I536" i="2"/>
  <c r="L536" i="2"/>
  <c r="M536" i="2"/>
  <c r="J537" i="2"/>
  <c r="K537" i="2"/>
  <c r="I537" i="2"/>
  <c r="L537" i="2"/>
  <c r="M537" i="2"/>
  <c r="I538" i="2"/>
  <c r="I539" i="2"/>
  <c r="J540" i="2"/>
  <c r="K540" i="2"/>
  <c r="I540" i="2"/>
  <c r="L540" i="2"/>
  <c r="M540" i="2"/>
  <c r="F541" i="2"/>
  <c r="J541" i="2"/>
  <c r="K541" i="2"/>
  <c r="I541" i="2"/>
  <c r="L541" i="2"/>
  <c r="M541" i="2"/>
  <c r="F542" i="2"/>
  <c r="J542" i="2"/>
  <c r="K542" i="2"/>
  <c r="I542" i="2"/>
  <c r="L542" i="2"/>
  <c r="M542" i="2"/>
  <c r="J543" i="2"/>
  <c r="K543" i="2"/>
  <c r="I543" i="2"/>
  <c r="L543" i="2"/>
  <c r="F544" i="2"/>
  <c r="I544" i="2"/>
  <c r="F545" i="2"/>
  <c r="I545" i="2"/>
  <c r="I546" i="2"/>
  <c r="J547" i="2"/>
  <c r="K547" i="2"/>
  <c r="I547" i="2"/>
  <c r="L547" i="2"/>
  <c r="M547" i="2"/>
  <c r="J548" i="2"/>
  <c r="K548" i="2"/>
  <c r="I548" i="2"/>
  <c r="L548" i="2"/>
  <c r="I549" i="2"/>
  <c r="J550" i="2"/>
  <c r="K550" i="2"/>
  <c r="L550" i="2"/>
  <c r="M550" i="2"/>
  <c r="F551" i="2"/>
  <c r="J551" i="2"/>
  <c r="K551" i="2"/>
  <c r="I551" i="2"/>
  <c r="L551" i="2"/>
  <c r="M551" i="2"/>
  <c r="J552" i="2"/>
  <c r="K552" i="2"/>
  <c r="I552" i="2"/>
  <c r="L552" i="2"/>
  <c r="J553" i="2"/>
  <c r="K553" i="2"/>
  <c r="I553" i="2"/>
  <c r="L553" i="2"/>
  <c r="M553" i="2"/>
  <c r="J554" i="2"/>
  <c r="K554" i="2"/>
  <c r="I554" i="2"/>
  <c r="L554" i="2"/>
  <c r="M554" i="2"/>
  <c r="F555" i="2"/>
  <c r="I555" i="2"/>
  <c r="F556" i="2"/>
  <c r="I556" i="2"/>
  <c r="J557" i="2"/>
  <c r="K557" i="2"/>
  <c r="I557" i="2"/>
  <c r="L557" i="2"/>
  <c r="M557" i="2"/>
  <c r="F558" i="2"/>
  <c r="J558" i="2"/>
  <c r="K558" i="2"/>
  <c r="I558" i="2"/>
  <c r="L558" i="2"/>
  <c r="M558" i="2"/>
  <c r="F559" i="2"/>
  <c r="J559" i="2"/>
  <c r="K559" i="2"/>
  <c r="I559" i="2"/>
  <c r="L559" i="2"/>
  <c r="M559" i="2"/>
  <c r="J560" i="2"/>
  <c r="K560" i="2"/>
  <c r="I560" i="2"/>
  <c r="L560" i="2"/>
  <c r="F561" i="2"/>
  <c r="I561" i="2"/>
  <c r="J562" i="2"/>
  <c r="K562" i="2"/>
  <c r="I562" i="2"/>
  <c r="L562" i="2"/>
  <c r="M562" i="2"/>
  <c r="F563" i="2"/>
  <c r="J563" i="2"/>
  <c r="K563" i="2"/>
  <c r="I563" i="2"/>
  <c r="L563" i="2"/>
  <c r="M563" i="2"/>
  <c r="J564" i="2"/>
  <c r="K564" i="2"/>
  <c r="I564" i="2"/>
  <c r="L564" i="2"/>
  <c r="M564" i="2"/>
  <c r="J565" i="2"/>
  <c r="K565" i="2"/>
  <c r="I565" i="2"/>
  <c r="L565" i="2"/>
  <c r="M565" i="2"/>
  <c r="F566" i="2"/>
  <c r="J566" i="2"/>
  <c r="K566" i="2"/>
  <c r="I566" i="2"/>
  <c r="L566" i="2"/>
  <c r="M566" i="2"/>
  <c r="J567" i="2"/>
  <c r="K567" i="2"/>
  <c r="L567" i="2"/>
  <c r="M567" i="2"/>
  <c r="F568" i="2"/>
  <c r="J568" i="2"/>
  <c r="K568" i="2"/>
  <c r="I568" i="2"/>
  <c r="L568" i="2"/>
  <c r="M568" i="2"/>
  <c r="J569" i="2"/>
  <c r="K569" i="2"/>
  <c r="I569" i="2"/>
  <c r="L569" i="2"/>
  <c r="J570" i="2"/>
  <c r="K570" i="2"/>
  <c r="I570" i="2"/>
  <c r="L570" i="2"/>
  <c r="M570" i="2"/>
  <c r="J571" i="2"/>
  <c r="K571" i="2"/>
  <c r="I571" i="2"/>
  <c r="L571" i="2"/>
  <c r="M571" i="2"/>
  <c r="F572" i="2"/>
  <c r="I572" i="2"/>
  <c r="J573" i="2"/>
  <c r="K573" i="2"/>
  <c r="I573" i="2"/>
  <c r="L573" i="2"/>
  <c r="M573" i="2"/>
  <c r="J574" i="2"/>
  <c r="K574" i="2"/>
  <c r="I574" i="2"/>
  <c r="L574" i="2"/>
  <c r="M574" i="2"/>
  <c r="F575" i="2"/>
  <c r="I575" i="2"/>
  <c r="F576" i="2"/>
  <c r="I576" i="2"/>
  <c r="J577" i="2"/>
  <c r="K577" i="2"/>
  <c r="I577" i="2"/>
  <c r="L577" i="2"/>
  <c r="M577" i="2"/>
  <c r="J578" i="2"/>
  <c r="K578" i="2"/>
  <c r="I578" i="2"/>
  <c r="L578" i="2"/>
  <c r="J579" i="2"/>
  <c r="K579" i="2"/>
  <c r="I579" i="2"/>
  <c r="L579" i="2"/>
  <c r="M579" i="2"/>
  <c r="F580" i="2"/>
  <c r="J580" i="2"/>
  <c r="K580" i="2"/>
  <c r="I580" i="2"/>
  <c r="L580" i="2"/>
  <c r="M580" i="2"/>
  <c r="J581" i="2"/>
  <c r="K581" i="2"/>
  <c r="I581" i="2"/>
  <c r="L581" i="2"/>
  <c r="J582" i="2"/>
  <c r="K582" i="2"/>
  <c r="I582" i="2"/>
  <c r="L582" i="2"/>
  <c r="M582" i="2"/>
  <c r="F583" i="2"/>
  <c r="J583" i="2"/>
  <c r="K583" i="2"/>
  <c r="I583" i="2"/>
  <c r="L583" i="2"/>
  <c r="M583" i="2"/>
  <c r="J584" i="2"/>
  <c r="K584" i="2"/>
  <c r="L584" i="2"/>
  <c r="M584" i="2"/>
  <c r="F585" i="2"/>
  <c r="J585" i="2"/>
  <c r="K585" i="2"/>
  <c r="I585" i="2"/>
  <c r="L585" i="2"/>
  <c r="M585" i="2"/>
  <c r="J586" i="2"/>
  <c r="K586" i="2"/>
  <c r="I586" i="2"/>
  <c r="L586" i="2"/>
  <c r="M586" i="2"/>
  <c r="J587" i="2"/>
  <c r="K587" i="2"/>
  <c r="I587" i="2"/>
  <c r="L587" i="2"/>
  <c r="M587" i="2"/>
  <c r="J588" i="2"/>
  <c r="K588" i="2"/>
  <c r="I588" i="2"/>
  <c r="L588" i="2"/>
  <c r="F589" i="2"/>
  <c r="I589" i="2"/>
  <c r="J590" i="2"/>
  <c r="K590" i="2"/>
  <c r="I590" i="2"/>
  <c r="L590" i="2"/>
  <c r="M590" i="2"/>
  <c r="J591" i="2"/>
  <c r="K591" i="2"/>
  <c r="I591" i="2"/>
  <c r="L591" i="2"/>
  <c r="F592" i="2"/>
  <c r="I592" i="2"/>
  <c r="F593" i="2"/>
  <c r="I593" i="2"/>
  <c r="J594" i="2"/>
  <c r="K594" i="2"/>
  <c r="I594" i="2"/>
  <c r="L594" i="2"/>
  <c r="M594" i="2"/>
  <c r="J595" i="2"/>
  <c r="K595" i="2"/>
  <c r="I595" i="2"/>
  <c r="L595" i="2"/>
  <c r="M595" i="2"/>
  <c r="J596" i="2"/>
  <c r="K596" i="2"/>
  <c r="I596" i="2"/>
  <c r="L596" i="2"/>
  <c r="M596" i="2"/>
  <c r="J597" i="2"/>
  <c r="K597" i="2"/>
  <c r="I597" i="2"/>
  <c r="L597" i="2"/>
  <c r="J598" i="2"/>
  <c r="K598" i="2"/>
  <c r="I598" i="2"/>
  <c r="L598" i="2"/>
  <c r="M598" i="2"/>
  <c r="J599" i="2"/>
  <c r="K599" i="2"/>
  <c r="I599" i="2"/>
  <c r="L599" i="2"/>
  <c r="M599" i="2"/>
  <c r="F600" i="2"/>
  <c r="I600" i="2"/>
  <c r="J601" i="2"/>
  <c r="K601" i="2"/>
  <c r="L601" i="2"/>
  <c r="F614" i="2"/>
  <c r="I602" i="2"/>
  <c r="J603" i="2"/>
  <c r="K603" i="2"/>
  <c r="I603" i="2"/>
  <c r="L603" i="2"/>
  <c r="J604" i="2"/>
  <c r="K604" i="2"/>
  <c r="I604" i="2"/>
  <c r="L604" i="2"/>
  <c r="M604" i="2"/>
  <c r="J605" i="2"/>
  <c r="K605" i="2"/>
  <c r="I605" i="2"/>
  <c r="L605" i="2"/>
  <c r="M605" i="2"/>
  <c r="I606" i="2"/>
  <c r="J607" i="2"/>
  <c r="K607" i="2"/>
  <c r="I607" i="2"/>
  <c r="L607" i="2"/>
  <c r="J608" i="2"/>
  <c r="K608" i="2"/>
  <c r="I608" i="2"/>
  <c r="L608" i="2"/>
  <c r="M608" i="2"/>
  <c r="F609" i="2"/>
  <c r="J609" i="2"/>
  <c r="K609" i="2"/>
  <c r="I609" i="2"/>
  <c r="L609" i="2"/>
  <c r="F610" i="2"/>
  <c r="J610" i="2"/>
  <c r="K610" i="2"/>
  <c r="I610" i="2"/>
  <c r="L610" i="2"/>
  <c r="M610" i="2"/>
  <c r="J611" i="2"/>
  <c r="K611" i="2"/>
  <c r="I611" i="2"/>
  <c r="L611" i="2"/>
  <c r="F612" i="2"/>
  <c r="J612" i="2"/>
  <c r="I612" i="2"/>
  <c r="J613" i="2"/>
  <c r="K613" i="2"/>
  <c r="I613" i="2"/>
  <c r="L613" i="2"/>
  <c r="M613" i="2"/>
  <c r="I614" i="2"/>
  <c r="J615" i="2"/>
  <c r="K615" i="2"/>
  <c r="I615" i="2"/>
  <c r="L615" i="2"/>
  <c r="J616" i="2"/>
  <c r="K616" i="2"/>
  <c r="I616" i="2"/>
  <c r="L616" i="2"/>
  <c r="M616" i="2"/>
  <c r="F617" i="2"/>
  <c r="J617" i="2"/>
  <c r="K617" i="2"/>
  <c r="I617" i="2"/>
  <c r="L617" i="2"/>
  <c r="M617" i="2"/>
  <c r="J618" i="2"/>
  <c r="K618" i="2"/>
  <c r="L618" i="2"/>
  <c r="M618" i="2"/>
  <c r="J619" i="2"/>
  <c r="K619" i="2"/>
  <c r="I619" i="2"/>
  <c r="L619" i="2"/>
  <c r="F620" i="2"/>
  <c r="I620" i="2"/>
  <c r="J621" i="2"/>
  <c r="H621" i="2"/>
  <c r="K621" i="2"/>
  <c r="I621" i="2"/>
  <c r="L621" i="2"/>
  <c r="J622" i="2"/>
  <c r="K622" i="2"/>
  <c r="I622" i="2"/>
  <c r="L622" i="2"/>
  <c r="M622" i="2"/>
  <c r="J623" i="2"/>
  <c r="K623" i="2"/>
  <c r="I623" i="2"/>
  <c r="L623" i="2"/>
  <c r="M623" i="2"/>
  <c r="J624" i="2"/>
  <c r="K624" i="2"/>
  <c r="I624" i="2"/>
  <c r="L624" i="2"/>
  <c r="M624" i="2"/>
  <c r="J625" i="2"/>
  <c r="K625" i="2"/>
  <c r="I625" i="2"/>
  <c r="L625" i="2"/>
  <c r="F626" i="2"/>
  <c r="I626" i="2"/>
  <c r="J627" i="2"/>
  <c r="K627" i="2"/>
  <c r="I627" i="2"/>
  <c r="L627" i="2"/>
  <c r="M627" i="2"/>
  <c r="F628" i="2"/>
  <c r="J628" i="2"/>
  <c r="K628" i="2"/>
  <c r="I628" i="2"/>
  <c r="L628" i="2"/>
  <c r="M628" i="2"/>
  <c r="F629" i="2"/>
  <c r="J629" i="2"/>
  <c r="K629" i="2"/>
  <c r="I629" i="2"/>
  <c r="L629" i="2"/>
  <c r="M629" i="2"/>
  <c r="F630" i="2"/>
  <c r="J630" i="2"/>
  <c r="K630" i="2"/>
  <c r="I630" i="2"/>
  <c r="L630" i="2"/>
  <c r="M630" i="2"/>
  <c r="F631" i="2"/>
  <c r="J631" i="2"/>
  <c r="K631" i="2"/>
  <c r="I631" i="2"/>
  <c r="L631" i="2"/>
  <c r="M631" i="2"/>
  <c r="J632" i="2"/>
  <c r="K632" i="2"/>
  <c r="I632" i="2"/>
  <c r="L632" i="2"/>
  <c r="F633" i="2"/>
  <c r="I633" i="2"/>
  <c r="F634" i="2"/>
  <c r="I634" i="2"/>
  <c r="J635" i="2"/>
  <c r="K635" i="2"/>
  <c r="I635" i="2"/>
  <c r="L635" i="2"/>
  <c r="M635" i="2"/>
  <c r="J636" i="2"/>
  <c r="K636" i="2"/>
  <c r="I636" i="2"/>
  <c r="L636" i="2"/>
  <c r="M636" i="2"/>
  <c r="F637" i="2"/>
  <c r="I637" i="2"/>
  <c r="J638" i="2"/>
  <c r="K638" i="2"/>
  <c r="I638" i="2"/>
  <c r="L638" i="2"/>
  <c r="M638" i="2"/>
  <c r="J639" i="2"/>
  <c r="K639" i="2"/>
  <c r="L639" i="2"/>
  <c r="M639" i="2"/>
  <c r="J640" i="2"/>
  <c r="K640" i="2"/>
  <c r="I640" i="2"/>
  <c r="L640" i="2"/>
  <c r="M640" i="2"/>
  <c r="J641" i="2"/>
  <c r="K641" i="2"/>
  <c r="I641" i="2"/>
  <c r="L641" i="2"/>
  <c r="M641" i="2"/>
  <c r="F642" i="2"/>
  <c r="J642" i="2"/>
  <c r="K642" i="2"/>
  <c r="I642" i="2"/>
  <c r="L642" i="2"/>
  <c r="M642" i="2"/>
  <c r="J643" i="2"/>
  <c r="K643" i="2"/>
  <c r="I643" i="2"/>
  <c r="L643" i="2"/>
  <c r="M643" i="2"/>
  <c r="J644" i="2"/>
  <c r="K644" i="2"/>
  <c r="I644" i="2"/>
  <c r="L644" i="2"/>
  <c r="M644" i="2"/>
  <c r="F645" i="2"/>
  <c r="J645" i="2"/>
  <c r="K645" i="2"/>
  <c r="I645" i="2"/>
  <c r="L645" i="2"/>
  <c r="M645" i="2"/>
  <c r="J646" i="2"/>
  <c r="K646" i="2"/>
  <c r="I646" i="2"/>
  <c r="L646" i="2"/>
  <c r="M646" i="2"/>
  <c r="F647" i="2"/>
  <c r="I647" i="2"/>
  <c r="J648" i="2"/>
  <c r="K648" i="2"/>
  <c r="I648" i="2"/>
  <c r="L648" i="2"/>
  <c r="M648" i="2"/>
  <c r="J649" i="2"/>
  <c r="K649" i="2"/>
  <c r="I649" i="2"/>
  <c r="L649" i="2"/>
  <c r="M649" i="2"/>
  <c r="J650" i="2"/>
  <c r="K650" i="2"/>
  <c r="I650" i="2"/>
  <c r="L650" i="2"/>
  <c r="M650" i="2"/>
  <c r="F651" i="2"/>
  <c r="J651" i="2"/>
  <c r="K651" i="2"/>
  <c r="I651" i="2"/>
  <c r="L651" i="2"/>
  <c r="M651" i="2"/>
  <c r="J652" i="2"/>
  <c r="K652" i="2"/>
  <c r="I652" i="2"/>
  <c r="L652" i="2"/>
  <c r="M652" i="2"/>
  <c r="J653" i="2"/>
  <c r="K653" i="2"/>
  <c r="I653" i="2"/>
  <c r="L653" i="2"/>
  <c r="M653" i="2"/>
  <c r="F654" i="2"/>
  <c r="J654" i="2"/>
  <c r="K654" i="2"/>
  <c r="I654" i="2"/>
  <c r="L654" i="2"/>
  <c r="M654" i="2"/>
  <c r="F655" i="2"/>
  <c r="J655" i="2"/>
  <c r="K655" i="2"/>
  <c r="I655" i="2"/>
  <c r="L655" i="2"/>
  <c r="M655" i="2"/>
  <c r="F656" i="2"/>
  <c r="J656" i="2"/>
  <c r="K656" i="2"/>
  <c r="I656" i="2"/>
  <c r="L656" i="2"/>
  <c r="M656" i="2"/>
  <c r="J657" i="2"/>
  <c r="K657" i="2"/>
  <c r="L657" i="2"/>
  <c r="M657" i="2"/>
  <c r="J658" i="2"/>
  <c r="K658" i="2"/>
  <c r="I658" i="2"/>
  <c r="L658" i="2"/>
  <c r="M658" i="2"/>
  <c r="F659" i="2"/>
  <c r="I659" i="2"/>
  <c r="J660" i="2"/>
  <c r="H660" i="2"/>
  <c r="K660" i="2"/>
  <c r="J661" i="2"/>
  <c r="K661" i="2"/>
  <c r="I661" i="2"/>
  <c r="L661" i="2"/>
  <c r="M661" i="2"/>
  <c r="F662" i="2"/>
  <c r="J662" i="2"/>
  <c r="K662" i="2"/>
  <c r="I662" i="2"/>
  <c r="L662" i="2"/>
  <c r="M662" i="2"/>
  <c r="J663" i="2"/>
  <c r="K663" i="2"/>
  <c r="I663" i="2"/>
  <c r="L663" i="2"/>
  <c r="M663" i="2"/>
  <c r="F664" i="2"/>
  <c r="I664" i="2"/>
  <c r="F665" i="2"/>
  <c r="I665" i="2"/>
  <c r="F666" i="2"/>
  <c r="I666" i="2"/>
  <c r="J667" i="2"/>
  <c r="K667" i="2"/>
  <c r="I667" i="2"/>
  <c r="L667" i="2"/>
  <c r="M667" i="2"/>
  <c r="F668" i="2"/>
  <c r="J668" i="2"/>
  <c r="K668" i="2"/>
  <c r="I668" i="2"/>
  <c r="L668" i="2"/>
  <c r="M668" i="2"/>
  <c r="J669" i="2"/>
  <c r="K669" i="2"/>
  <c r="I669" i="2"/>
  <c r="L669" i="2"/>
  <c r="J670" i="2"/>
  <c r="K670" i="2"/>
  <c r="I670" i="2"/>
  <c r="L670" i="2"/>
  <c r="M670" i="2"/>
  <c r="F671" i="2"/>
  <c r="J671" i="2"/>
  <c r="K671" i="2"/>
  <c r="I671" i="2"/>
  <c r="L671" i="2"/>
  <c r="M671" i="2"/>
  <c r="F672" i="2"/>
  <c r="J672" i="2"/>
  <c r="K672" i="2"/>
  <c r="I672" i="2"/>
  <c r="L672" i="2"/>
  <c r="M672" i="2"/>
  <c r="J673" i="2"/>
  <c r="K673" i="2"/>
  <c r="I673" i="2"/>
  <c r="L673" i="2"/>
  <c r="M673" i="2"/>
  <c r="J674" i="2"/>
  <c r="K674" i="2"/>
  <c r="I674" i="2"/>
  <c r="L674" i="2"/>
  <c r="M674" i="2"/>
  <c r="F675" i="2"/>
  <c r="J675" i="2"/>
  <c r="K675" i="2"/>
  <c r="I675" i="2"/>
  <c r="L675" i="2"/>
  <c r="M675" i="2"/>
  <c r="J676" i="2"/>
  <c r="K676" i="2"/>
  <c r="I676" i="2"/>
  <c r="L676" i="2"/>
  <c r="M676" i="2"/>
  <c r="J677" i="2"/>
  <c r="K677" i="2"/>
  <c r="L677" i="2"/>
  <c r="M677" i="2"/>
  <c r="J678" i="2"/>
  <c r="K678" i="2"/>
  <c r="I678" i="2"/>
  <c r="L678" i="2"/>
  <c r="M678" i="2"/>
  <c r="J679" i="2"/>
  <c r="K679" i="2"/>
  <c r="I679" i="2"/>
  <c r="L679" i="2"/>
  <c r="M679" i="2"/>
  <c r="J680" i="2"/>
  <c r="K680" i="2"/>
  <c r="L680" i="2"/>
  <c r="M680" i="2"/>
  <c r="J681" i="2"/>
  <c r="K681" i="2"/>
  <c r="L681" i="2"/>
  <c r="J682" i="2"/>
  <c r="K682" i="2"/>
  <c r="I682" i="2"/>
  <c r="L682" i="2"/>
  <c r="M682" i="2"/>
  <c r="F683" i="2"/>
  <c r="J683" i="2"/>
  <c r="K683" i="2"/>
  <c r="I683" i="2"/>
  <c r="L683" i="2"/>
  <c r="M683" i="2"/>
  <c r="F684" i="2"/>
  <c r="J684" i="2"/>
  <c r="K684" i="2"/>
  <c r="I684" i="2"/>
  <c r="L684" i="2"/>
  <c r="M684" i="2"/>
  <c r="F685" i="2"/>
  <c r="J685" i="2"/>
  <c r="K685" i="2"/>
  <c r="I685" i="2"/>
  <c r="L685" i="2"/>
  <c r="M685" i="2"/>
  <c r="F686" i="2"/>
  <c r="J686" i="2"/>
  <c r="K686" i="2"/>
  <c r="I686" i="2"/>
  <c r="L686" i="2"/>
  <c r="M686" i="2"/>
  <c r="J687" i="2"/>
  <c r="K687" i="2"/>
  <c r="I687" i="2"/>
  <c r="L687" i="2"/>
  <c r="M687" i="2"/>
  <c r="F688" i="2"/>
  <c r="J688" i="2"/>
  <c r="I688" i="2"/>
  <c r="J689" i="2"/>
  <c r="K689" i="2"/>
  <c r="I689" i="2"/>
  <c r="L689" i="2"/>
  <c r="M689" i="2"/>
  <c r="J690" i="2"/>
  <c r="K690" i="2"/>
  <c r="I690" i="2"/>
  <c r="L690" i="2"/>
  <c r="M690" i="2"/>
  <c r="J691" i="2"/>
  <c r="K691" i="2"/>
  <c r="I691" i="2"/>
  <c r="L691" i="2"/>
  <c r="M691" i="2"/>
  <c r="F696" i="2"/>
  <c r="F692" i="2"/>
  <c r="J692" i="2"/>
  <c r="I692" i="2"/>
  <c r="J693" i="2"/>
  <c r="K693" i="2"/>
  <c r="I693" i="2"/>
  <c r="L693" i="2"/>
  <c r="M693" i="2"/>
  <c r="J694" i="2"/>
  <c r="K694" i="2"/>
  <c r="I694" i="2"/>
  <c r="L694" i="2"/>
  <c r="M694" i="2"/>
  <c r="J695" i="2"/>
  <c r="K695" i="2"/>
  <c r="L695" i="2"/>
  <c r="J696" i="2"/>
  <c r="K696" i="2"/>
  <c r="I696" i="2"/>
  <c r="L696" i="2"/>
  <c r="M696" i="2"/>
  <c r="F697" i="2"/>
  <c r="J697" i="2"/>
  <c r="I697" i="2"/>
  <c r="J698" i="2"/>
  <c r="K698" i="2"/>
  <c r="I698" i="2"/>
  <c r="L698" i="2"/>
  <c r="F699" i="2"/>
  <c r="J699" i="2"/>
  <c r="I699" i="2"/>
  <c r="J700" i="2"/>
  <c r="K700" i="2"/>
  <c r="I700" i="2"/>
  <c r="L700" i="2"/>
  <c r="M700" i="2"/>
  <c r="J701" i="2"/>
  <c r="K701" i="2"/>
  <c r="I701" i="2"/>
  <c r="L701" i="2"/>
  <c r="J702" i="2"/>
  <c r="K702" i="2"/>
  <c r="I702" i="2"/>
  <c r="L702" i="2"/>
  <c r="M702" i="2"/>
  <c r="F703" i="2"/>
  <c r="J703" i="2"/>
  <c r="K703" i="2"/>
  <c r="I703" i="2"/>
  <c r="L703" i="2"/>
  <c r="M703" i="2"/>
  <c r="J704" i="2"/>
  <c r="K704" i="2"/>
  <c r="I704" i="2"/>
  <c r="L704" i="2"/>
  <c r="M704" i="2"/>
  <c r="F705" i="2"/>
  <c r="J705" i="2"/>
  <c r="K705" i="2"/>
  <c r="I705" i="2"/>
  <c r="L705" i="2"/>
  <c r="M705" i="2"/>
  <c r="J706" i="2"/>
  <c r="K706" i="2"/>
  <c r="I706" i="2"/>
  <c r="L706" i="2"/>
  <c r="M706" i="2"/>
  <c r="F707" i="2"/>
  <c r="J707" i="2"/>
  <c r="K707" i="2"/>
  <c r="I707" i="2"/>
  <c r="L707" i="2"/>
  <c r="M707" i="2"/>
  <c r="J708" i="2"/>
  <c r="K708" i="2"/>
  <c r="I708" i="2"/>
  <c r="L708" i="2"/>
  <c r="M708" i="2"/>
  <c r="J709" i="2"/>
  <c r="K709" i="2"/>
  <c r="I709" i="2"/>
  <c r="L709" i="2"/>
  <c r="M709" i="2"/>
  <c r="F710" i="2"/>
  <c r="J710" i="2"/>
  <c r="K710" i="2"/>
  <c r="I710" i="2"/>
  <c r="L710" i="2"/>
  <c r="M710" i="2"/>
  <c r="J711" i="2"/>
  <c r="K711" i="2"/>
  <c r="L711" i="2"/>
  <c r="M711" i="2"/>
  <c r="J712" i="2"/>
  <c r="K712" i="2"/>
  <c r="I712" i="2"/>
  <c r="L712" i="2"/>
  <c r="M712" i="2"/>
  <c r="J713" i="2"/>
  <c r="K713" i="2"/>
  <c r="I713" i="2"/>
  <c r="L713" i="2"/>
  <c r="M713" i="2"/>
  <c r="J714" i="2"/>
  <c r="K714" i="2"/>
  <c r="I714" i="2"/>
  <c r="L714" i="2"/>
  <c r="M714" i="2"/>
  <c r="J715" i="2"/>
  <c r="K715" i="2"/>
  <c r="I715" i="2"/>
  <c r="L715" i="2"/>
  <c r="M715" i="2"/>
  <c r="J716" i="2"/>
  <c r="K716" i="2"/>
  <c r="I716" i="2"/>
  <c r="L716" i="2"/>
  <c r="M716" i="2"/>
  <c r="J717" i="2"/>
  <c r="K717" i="2"/>
  <c r="I717" i="2"/>
  <c r="L717" i="2"/>
  <c r="M717" i="2"/>
  <c r="J718" i="2"/>
  <c r="K718" i="2"/>
  <c r="I718" i="2"/>
  <c r="L718" i="2"/>
  <c r="M718" i="2"/>
  <c r="J719" i="2"/>
  <c r="K719" i="2"/>
  <c r="I719" i="2"/>
  <c r="L719" i="2"/>
  <c r="M719" i="2"/>
  <c r="J720" i="2"/>
  <c r="K720" i="2"/>
  <c r="L720" i="2"/>
  <c r="M720" i="2"/>
  <c r="J721" i="2"/>
  <c r="K721" i="2"/>
  <c r="I721" i="2"/>
  <c r="L721" i="2"/>
  <c r="M721" i="2"/>
  <c r="F722" i="2"/>
  <c r="J722" i="2"/>
  <c r="K722" i="2"/>
  <c r="I722" i="2"/>
  <c r="L722" i="2"/>
  <c r="M722" i="2"/>
  <c r="F723" i="2"/>
  <c r="J723" i="2"/>
  <c r="K723" i="2"/>
  <c r="I723" i="2"/>
  <c r="L723" i="2"/>
  <c r="F724" i="2"/>
  <c r="J724" i="2"/>
  <c r="K724" i="2"/>
  <c r="I724" i="2"/>
  <c r="L724" i="2"/>
  <c r="M724" i="2"/>
  <c r="J725" i="2"/>
  <c r="K725" i="2"/>
  <c r="I725" i="2"/>
  <c r="L725" i="2"/>
  <c r="M725" i="2"/>
  <c r="J726" i="2"/>
  <c r="K726" i="2"/>
  <c r="I726" i="2"/>
  <c r="L726" i="2"/>
  <c r="J727" i="2"/>
  <c r="K727" i="2"/>
  <c r="I727" i="2"/>
  <c r="L727" i="2"/>
  <c r="M727" i="2"/>
  <c r="J728" i="2"/>
  <c r="K728" i="2"/>
  <c r="I728" i="2"/>
  <c r="L728" i="2"/>
  <c r="J729" i="2"/>
  <c r="K729" i="2"/>
  <c r="I729" i="2"/>
  <c r="L729" i="2"/>
  <c r="M729" i="2"/>
  <c r="J730" i="2"/>
  <c r="K730" i="2"/>
  <c r="L730" i="2"/>
  <c r="M730" i="2"/>
  <c r="J731" i="2"/>
  <c r="K731" i="2"/>
  <c r="I731" i="2"/>
  <c r="L731" i="2"/>
  <c r="J732" i="2"/>
  <c r="K732" i="2"/>
  <c r="I732" i="2"/>
  <c r="L732" i="2"/>
  <c r="M732" i="2"/>
  <c r="J733" i="2"/>
  <c r="K733" i="2"/>
  <c r="I733" i="2"/>
  <c r="L733" i="2"/>
  <c r="J734" i="2"/>
  <c r="K734" i="2"/>
  <c r="I734" i="2"/>
  <c r="L734" i="2"/>
  <c r="M734" i="2"/>
  <c r="J735" i="2"/>
  <c r="K735" i="2"/>
  <c r="I735" i="2"/>
  <c r="L735" i="2"/>
  <c r="J736" i="2"/>
  <c r="K736" i="2"/>
  <c r="L736" i="2"/>
  <c r="M736" i="2"/>
  <c r="J737" i="2"/>
  <c r="K737" i="2"/>
  <c r="I737" i="2"/>
  <c r="L737" i="2"/>
  <c r="M737" i="2"/>
  <c r="F738" i="2"/>
  <c r="J738" i="2"/>
  <c r="K738" i="2"/>
  <c r="I738" i="2"/>
  <c r="L738" i="2"/>
  <c r="M738" i="2"/>
  <c r="J739" i="2"/>
  <c r="K739" i="2"/>
  <c r="I739" i="2"/>
  <c r="L739" i="2"/>
  <c r="M739" i="2"/>
  <c r="F740" i="2"/>
  <c r="J740" i="2"/>
  <c r="K740" i="2"/>
  <c r="I740" i="2"/>
  <c r="L740" i="2"/>
  <c r="M740" i="2"/>
  <c r="F741" i="2"/>
  <c r="J741" i="2"/>
  <c r="K741" i="2"/>
  <c r="I741" i="2"/>
  <c r="L741" i="2"/>
  <c r="M741" i="2"/>
  <c r="J742" i="2"/>
  <c r="K742" i="2"/>
  <c r="L742" i="2"/>
  <c r="M742" i="2"/>
  <c r="J743" i="2"/>
  <c r="K743" i="2"/>
  <c r="L743" i="2"/>
  <c r="M743" i="2"/>
  <c r="J744" i="2"/>
  <c r="K744" i="2"/>
  <c r="L744" i="2"/>
  <c r="M744" i="2"/>
  <c r="J745" i="2"/>
  <c r="K745" i="2"/>
  <c r="I745" i="2"/>
  <c r="L745" i="2"/>
  <c r="M745" i="2"/>
  <c r="J746" i="2"/>
  <c r="K746" i="2"/>
  <c r="I746" i="2"/>
  <c r="L746" i="2"/>
  <c r="M746" i="2"/>
  <c r="J747" i="2"/>
  <c r="K747" i="2"/>
  <c r="I747" i="2"/>
  <c r="L747" i="2"/>
  <c r="M747" i="2"/>
  <c r="J748" i="2"/>
  <c r="K748" i="2"/>
  <c r="I748" i="2"/>
  <c r="L748" i="2"/>
  <c r="M748" i="2"/>
  <c r="J749" i="2"/>
  <c r="K749" i="2"/>
  <c r="I749" i="2"/>
  <c r="L749" i="2"/>
  <c r="M749" i="2"/>
  <c r="J750" i="2"/>
  <c r="K750" i="2"/>
  <c r="L750" i="2"/>
  <c r="M750" i="2"/>
  <c r="J751" i="2"/>
  <c r="K751" i="2"/>
  <c r="I751" i="2"/>
  <c r="L751" i="2"/>
  <c r="M751" i="2"/>
  <c r="J752" i="2"/>
  <c r="K752" i="2"/>
  <c r="I752" i="2"/>
  <c r="L752" i="2"/>
  <c r="M752" i="2"/>
  <c r="J753" i="2"/>
  <c r="K753" i="2"/>
  <c r="I753" i="2"/>
  <c r="L753" i="2"/>
  <c r="M753" i="2"/>
  <c r="J754" i="2"/>
  <c r="K754" i="2"/>
  <c r="I754" i="2"/>
  <c r="L754" i="2"/>
  <c r="M754" i="2"/>
  <c r="J755" i="2"/>
  <c r="K755" i="2"/>
  <c r="I755" i="2"/>
  <c r="L755" i="2"/>
  <c r="M755" i="2"/>
  <c r="J756" i="2"/>
  <c r="K756" i="2"/>
  <c r="I756" i="2"/>
  <c r="L756" i="2"/>
  <c r="M756" i="2"/>
  <c r="J757" i="2"/>
  <c r="K757" i="2"/>
  <c r="I757" i="2"/>
  <c r="L757" i="2"/>
  <c r="M757" i="2"/>
  <c r="J758" i="2"/>
  <c r="K758" i="2"/>
  <c r="I758" i="2"/>
  <c r="L758" i="2"/>
  <c r="M758" i="2"/>
  <c r="J759" i="2"/>
  <c r="K759" i="2"/>
  <c r="I759" i="2"/>
  <c r="L759" i="2"/>
  <c r="M759" i="2"/>
  <c r="J760" i="2"/>
  <c r="K760" i="2"/>
  <c r="I760" i="2"/>
  <c r="L760" i="2"/>
  <c r="M760" i="2"/>
  <c r="J761" i="2"/>
  <c r="K761" i="2"/>
  <c r="I761" i="2"/>
  <c r="L761" i="2"/>
  <c r="M761" i="2"/>
  <c r="J762" i="2"/>
  <c r="K762" i="2"/>
  <c r="L762" i="2"/>
  <c r="M762" i="2"/>
  <c r="F763" i="2"/>
  <c r="J763" i="2"/>
  <c r="K763" i="2"/>
  <c r="J764" i="2"/>
  <c r="K764" i="2"/>
  <c r="I764" i="2"/>
  <c r="L764" i="2"/>
  <c r="M764" i="2"/>
  <c r="J765" i="2"/>
  <c r="K765" i="2"/>
  <c r="I765" i="2"/>
  <c r="L765" i="2"/>
  <c r="M765" i="2"/>
  <c r="J766" i="2"/>
  <c r="K766" i="2"/>
  <c r="I766" i="2"/>
  <c r="L766" i="2"/>
  <c r="J767" i="2"/>
  <c r="K767" i="2"/>
  <c r="I767" i="2"/>
  <c r="L767" i="2"/>
  <c r="M767" i="2"/>
  <c r="J768" i="2"/>
  <c r="K768" i="2"/>
  <c r="I768" i="2"/>
  <c r="L768" i="2"/>
  <c r="J769" i="2"/>
  <c r="K769" i="2"/>
  <c r="L769" i="2"/>
  <c r="M769" i="2"/>
  <c r="J770" i="2"/>
  <c r="K770" i="2"/>
  <c r="I770" i="2"/>
  <c r="L770" i="2"/>
  <c r="M770" i="2"/>
  <c r="J771" i="2"/>
  <c r="K771" i="2"/>
  <c r="L771" i="2"/>
  <c r="M771" i="2"/>
  <c r="J772" i="2"/>
  <c r="K772" i="2"/>
  <c r="I772" i="2"/>
  <c r="L772" i="2"/>
  <c r="J773" i="2"/>
  <c r="K773" i="2"/>
  <c r="L773" i="2"/>
  <c r="M773" i="2"/>
  <c r="J774" i="2"/>
  <c r="K774" i="2"/>
  <c r="L774" i="2"/>
  <c r="M774" i="2"/>
  <c r="J775" i="2"/>
  <c r="K775" i="2"/>
  <c r="L775" i="2"/>
  <c r="M775" i="2"/>
  <c r="P28" i="2"/>
  <c r="P30" i="2"/>
  <c r="P11" i="2"/>
  <c r="P12" i="2"/>
  <c r="P13" i="2"/>
  <c r="P15" i="2"/>
  <c r="P17" i="2"/>
  <c r="P19" i="2"/>
  <c r="P21" i="2"/>
  <c r="P23" i="2"/>
  <c r="P24" i="2"/>
  <c r="P25" i="2"/>
  <c r="P26" i="2"/>
  <c r="P29" i="2"/>
  <c r="P41" i="2"/>
  <c r="P42" i="2"/>
  <c r="P45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E653" i="2"/>
  <c r="E597" i="2"/>
  <c r="M733" i="2"/>
  <c r="M728" i="2"/>
  <c r="M695" i="2"/>
  <c r="K467" i="2"/>
  <c r="L467" i="2"/>
  <c r="F470" i="2"/>
  <c r="J467" i="2"/>
  <c r="M467" i="2"/>
  <c r="L763" i="2"/>
  <c r="M763" i="2"/>
  <c r="L699" i="2"/>
  <c r="K692" i="2"/>
  <c r="K534" i="2"/>
  <c r="L534" i="2"/>
  <c r="J534" i="2"/>
  <c r="M534" i="2"/>
  <c r="F538" i="2"/>
  <c r="F539" i="2"/>
  <c r="K539" i="2"/>
  <c r="M446" i="2"/>
  <c r="M444" i="2"/>
  <c r="M442" i="2"/>
  <c r="M440" i="2"/>
  <c r="M438" i="2"/>
  <c r="M435" i="2"/>
  <c r="M433" i="2"/>
  <c r="L614" i="2"/>
  <c r="K614" i="2"/>
  <c r="F549" i="2"/>
  <c r="L546" i="2"/>
  <c r="K546" i="2"/>
  <c r="F488" i="2"/>
  <c r="L488" i="2"/>
  <c r="L485" i="2"/>
  <c r="K485" i="2"/>
  <c r="M485" i="2"/>
  <c r="J447" i="2"/>
  <c r="M447" i="2"/>
  <c r="F449" i="2"/>
  <c r="K449" i="2"/>
  <c r="F450" i="2"/>
  <c r="M445" i="2"/>
  <c r="M298" i="2"/>
  <c r="M296" i="2"/>
  <c r="M301" i="2"/>
  <c r="M299" i="2"/>
  <c r="M297" i="2"/>
  <c r="M295" i="2"/>
  <c r="L157" i="2"/>
  <c r="M157" i="2"/>
  <c r="F151" i="2"/>
  <c r="K151" i="2"/>
  <c r="J151" i="2"/>
  <c r="L151" i="2"/>
  <c r="M151" i="2"/>
  <c r="M132" i="2"/>
  <c r="L129" i="2"/>
  <c r="K129" i="2"/>
  <c r="M129" i="2"/>
  <c r="M128" i="2"/>
  <c r="M123" i="2"/>
  <c r="M121" i="2"/>
  <c r="J88" i="2"/>
  <c r="I88" i="2"/>
  <c r="L88" i="2"/>
  <c r="M88" i="2"/>
  <c r="M135" i="2"/>
  <c r="J133" i="2"/>
  <c r="I133" i="2"/>
  <c r="L133" i="2"/>
  <c r="M133" i="2"/>
  <c r="M120" i="2"/>
  <c r="G110" i="2"/>
  <c r="I110" i="2"/>
  <c r="L110" i="2"/>
  <c r="K115" i="2"/>
  <c r="L115" i="2"/>
  <c r="J115" i="2"/>
  <c r="K134" i="5"/>
  <c r="L118" i="2"/>
  <c r="M118" i="2"/>
  <c r="J110" i="2"/>
  <c r="M110" i="2"/>
  <c r="L98" i="2"/>
  <c r="M98" i="2"/>
  <c r="L97" i="2"/>
  <c r="M97" i="2"/>
  <c r="J89" i="2"/>
  <c r="M89" i="2"/>
  <c r="F46" i="2"/>
  <c r="J46" i="2"/>
  <c r="K212" i="1"/>
  <c r="K210" i="1"/>
  <c r="K208" i="1"/>
  <c r="K206" i="1"/>
  <c r="K203" i="1"/>
  <c r="K201" i="1"/>
  <c r="K199" i="1"/>
  <c r="K211" i="1"/>
  <c r="K209" i="1"/>
  <c r="K207" i="1"/>
  <c r="K205" i="1"/>
  <c r="K202" i="1"/>
  <c r="K200" i="1"/>
  <c r="K198" i="1"/>
  <c r="K221" i="1"/>
  <c r="K214" i="1"/>
  <c r="M25" i="1"/>
  <c r="M270" i="1"/>
  <c r="K220" i="1"/>
  <c r="K189" i="1"/>
  <c r="M182" i="1"/>
  <c r="K46" i="2"/>
  <c r="M115" i="2"/>
  <c r="K450" i="2"/>
  <c r="L450" i="2"/>
  <c r="J450" i="2"/>
  <c r="M450" i="2"/>
  <c r="K549" i="2"/>
  <c r="L549" i="2"/>
  <c r="J549" i="2"/>
  <c r="M549" i="2"/>
  <c r="J539" i="2"/>
  <c r="L539" i="2"/>
  <c r="K470" i="2"/>
  <c r="L470" i="2"/>
  <c r="J470" i="2"/>
  <c r="K136" i="5"/>
  <c r="K135" i="5"/>
  <c r="K138" i="5"/>
  <c r="K2" i="5"/>
  <c r="L449" i="2"/>
  <c r="K488" i="2"/>
  <c r="J488" i="2"/>
  <c r="M488" i="2"/>
  <c r="J538" i="2"/>
  <c r="K538" i="2"/>
  <c r="L538" i="2"/>
  <c r="M538" i="2"/>
  <c r="M470" i="2"/>
  <c r="J37" i="13"/>
  <c r="K18" i="13"/>
  <c r="K15" i="13"/>
  <c r="K17" i="13"/>
  <c r="K21" i="13"/>
  <c r="K11" i="13"/>
  <c r="M539" i="2"/>
  <c r="M772" i="2"/>
  <c r="M768" i="2"/>
  <c r="M766" i="2"/>
  <c r="M735" i="2"/>
  <c r="M731" i="2"/>
  <c r="M723" i="2"/>
  <c r="M701" i="2"/>
  <c r="M698" i="2"/>
  <c r="M726" i="2"/>
  <c r="J666" i="2"/>
  <c r="K666" i="2"/>
  <c r="L666" i="2"/>
  <c r="J664" i="2"/>
  <c r="K664" i="2"/>
  <c r="L664" i="2"/>
  <c r="J659" i="2"/>
  <c r="K659" i="2"/>
  <c r="L659" i="2"/>
  <c r="J647" i="2"/>
  <c r="K647" i="2"/>
  <c r="L647" i="2"/>
  <c r="J637" i="2"/>
  <c r="K637" i="2"/>
  <c r="L637" i="2"/>
  <c r="J634" i="2"/>
  <c r="K634" i="2"/>
  <c r="L634" i="2"/>
  <c r="M621" i="2"/>
  <c r="M607" i="2"/>
  <c r="F602" i="2"/>
  <c r="J614" i="2"/>
  <c r="M614" i="2"/>
  <c r="J600" i="2"/>
  <c r="K600" i="2"/>
  <c r="L600" i="2"/>
  <c r="J593" i="2"/>
  <c r="K593" i="2"/>
  <c r="L593" i="2"/>
  <c r="J575" i="2"/>
  <c r="K575" i="2"/>
  <c r="L575" i="2"/>
  <c r="J572" i="2"/>
  <c r="K572" i="2"/>
  <c r="L572" i="2"/>
  <c r="J555" i="2"/>
  <c r="K555" i="2"/>
  <c r="L555" i="2"/>
  <c r="J545" i="2"/>
  <c r="K545" i="2"/>
  <c r="L545" i="2"/>
  <c r="J517" i="2"/>
  <c r="K517" i="2"/>
  <c r="L517" i="2"/>
  <c r="J499" i="2"/>
  <c r="K499" i="2"/>
  <c r="L499" i="2"/>
  <c r="J493" i="2"/>
  <c r="K493" i="2"/>
  <c r="L493" i="2"/>
  <c r="J484" i="2"/>
  <c r="K484" i="2"/>
  <c r="L484" i="2"/>
  <c r="M469" i="2"/>
  <c r="M463" i="2"/>
  <c r="M441" i="2"/>
  <c r="M434" i="2"/>
  <c r="J418" i="2"/>
  <c r="K418" i="2"/>
  <c r="L418" i="2"/>
  <c r="J415" i="2"/>
  <c r="K415" i="2"/>
  <c r="L415" i="2"/>
  <c r="J407" i="2"/>
  <c r="K407" i="2"/>
  <c r="L407" i="2"/>
  <c r="J405" i="2"/>
  <c r="K405" i="2"/>
  <c r="L405" i="2"/>
  <c r="J370" i="2"/>
  <c r="K370" i="2"/>
  <c r="L370" i="2"/>
  <c r="J367" i="2"/>
  <c r="K367" i="2"/>
  <c r="L367" i="2"/>
  <c r="J365" i="2"/>
  <c r="K365" i="2"/>
  <c r="L365" i="2"/>
  <c r="J306" i="2"/>
  <c r="K306" i="2"/>
  <c r="L306" i="2"/>
  <c r="M294" i="2"/>
  <c r="M292" i="2"/>
  <c r="M280" i="2"/>
  <c r="M264" i="2"/>
  <c r="M256" i="2"/>
  <c r="M243" i="2"/>
  <c r="M235" i="2"/>
  <c r="M231" i="2"/>
  <c r="M224" i="2"/>
  <c r="M218" i="2"/>
  <c r="M210" i="2"/>
  <c r="M204" i="2"/>
  <c r="M200" i="2"/>
  <c r="M192" i="2"/>
  <c r="J187" i="2"/>
  <c r="K187" i="2"/>
  <c r="L187" i="2"/>
  <c r="M183" i="2"/>
  <c r="M178" i="2"/>
  <c r="M173" i="2"/>
  <c r="M166" i="2"/>
  <c r="J449" i="2"/>
  <c r="M449" i="2"/>
  <c r="L46" i="2"/>
  <c r="M46" i="2"/>
  <c r="P46" i="2"/>
  <c r="L692" i="2"/>
  <c r="M692" i="2"/>
  <c r="K699" i="2"/>
  <c r="M699" i="2"/>
  <c r="L697" i="2"/>
  <c r="K697" i="2"/>
  <c r="M697" i="2"/>
  <c r="L688" i="2"/>
  <c r="K688" i="2"/>
  <c r="M688" i="2"/>
  <c r="M681" i="2"/>
  <c r="M669" i="2"/>
  <c r="J665" i="2"/>
  <c r="K665" i="2"/>
  <c r="L665" i="2"/>
  <c r="I660" i="2"/>
  <c r="L660" i="2"/>
  <c r="M660" i="2"/>
  <c r="J633" i="2"/>
  <c r="K633" i="2"/>
  <c r="L633" i="2"/>
  <c r="M632" i="2"/>
  <c r="J626" i="2"/>
  <c r="K626" i="2"/>
  <c r="L626" i="2"/>
  <c r="M625" i="2"/>
  <c r="J620" i="2"/>
  <c r="K620" i="2"/>
  <c r="L620" i="2"/>
  <c r="M619" i="2"/>
  <c r="M615" i="2"/>
  <c r="L612" i="2"/>
  <c r="K612" i="2"/>
  <c r="M612" i="2"/>
  <c r="M611" i="2"/>
  <c r="M609" i="2"/>
  <c r="M603" i="2"/>
  <c r="M601" i="2"/>
  <c r="M597" i="2"/>
  <c r="J592" i="2"/>
  <c r="K592" i="2"/>
  <c r="L592" i="2"/>
  <c r="M591" i="2"/>
  <c r="J589" i="2"/>
  <c r="K589" i="2"/>
  <c r="L589" i="2"/>
  <c r="M588" i="2"/>
  <c r="M581" i="2"/>
  <c r="M578" i="2"/>
  <c r="J576" i="2"/>
  <c r="K576" i="2"/>
  <c r="L576" i="2"/>
  <c r="M569" i="2"/>
  <c r="J561" i="2"/>
  <c r="K561" i="2"/>
  <c r="L561" i="2"/>
  <c r="M560" i="2"/>
  <c r="J556" i="2"/>
  <c r="K556" i="2"/>
  <c r="L556" i="2"/>
  <c r="M552" i="2"/>
  <c r="M548" i="2"/>
  <c r="J546" i="2"/>
  <c r="M546" i="2"/>
  <c r="J544" i="2"/>
  <c r="K544" i="2"/>
  <c r="L544" i="2"/>
  <c r="M543" i="2"/>
  <c r="M535" i="2"/>
  <c r="M533" i="2"/>
  <c r="J531" i="2"/>
  <c r="K531" i="2"/>
  <c r="L531" i="2"/>
  <c r="M530" i="2"/>
  <c r="M518" i="2"/>
  <c r="M513" i="2"/>
  <c r="M512" i="2"/>
  <c r="M496" i="2"/>
  <c r="J492" i="2"/>
  <c r="K492" i="2"/>
  <c r="L492" i="2"/>
  <c r="M491" i="2"/>
  <c r="M487" i="2"/>
  <c r="J483" i="2"/>
  <c r="K483" i="2"/>
  <c r="L483" i="2"/>
  <c r="M482" i="2"/>
  <c r="J476" i="2"/>
  <c r="K476" i="2"/>
  <c r="L476" i="2"/>
  <c r="M475" i="2"/>
  <c r="M472" i="2"/>
  <c r="M465" i="2"/>
  <c r="F464" i="2"/>
  <c r="L461" i="2"/>
  <c r="K461" i="2"/>
  <c r="M461" i="2"/>
  <c r="M460" i="2"/>
  <c r="M458" i="2"/>
  <c r="L455" i="2"/>
  <c r="K455" i="2"/>
  <c r="M455" i="2"/>
  <c r="M454" i="2"/>
  <c r="L451" i="2"/>
  <c r="K451" i="2"/>
  <c r="M451" i="2"/>
  <c r="M448" i="2"/>
  <c r="M437" i="2"/>
  <c r="L436" i="2"/>
  <c r="K436" i="2"/>
  <c r="M436" i="2"/>
  <c r="M421" i="2"/>
  <c r="F419" i="2"/>
  <c r="M410" i="2"/>
  <c r="F408" i="2"/>
  <c r="M406" i="2"/>
  <c r="M402" i="2"/>
  <c r="M399" i="2"/>
  <c r="J397" i="2"/>
  <c r="K397" i="2"/>
  <c r="L397" i="2"/>
  <c r="M395" i="2"/>
  <c r="M393" i="2"/>
  <c r="M392" i="2"/>
  <c r="M388" i="2"/>
  <c r="M384" i="2"/>
  <c r="M375" i="2"/>
  <c r="M374" i="2"/>
  <c r="J366" i="2"/>
  <c r="K366" i="2"/>
  <c r="L366" i="2"/>
  <c r="M362" i="2"/>
  <c r="M358" i="2"/>
  <c r="M354" i="2"/>
  <c r="M350" i="2"/>
  <c r="J348" i="2"/>
  <c r="K348" i="2"/>
  <c r="L348" i="2"/>
  <c r="M347" i="2"/>
  <c r="M339" i="2"/>
  <c r="M336" i="2"/>
  <c r="M332" i="2"/>
  <c r="M326" i="2"/>
  <c r="M322" i="2"/>
  <c r="M318" i="2"/>
  <c r="M313" i="2"/>
  <c r="M309" i="2"/>
  <c r="M307" i="2"/>
  <c r="J304" i="2"/>
  <c r="K304" i="2"/>
  <c r="L304" i="2"/>
  <c r="J303" i="2"/>
  <c r="K303" i="2"/>
  <c r="L303" i="2"/>
  <c r="M288" i="2"/>
  <c r="M269" i="2"/>
  <c r="M259" i="2"/>
  <c r="M253" i="2"/>
  <c r="M239" i="2"/>
  <c r="J227" i="2"/>
  <c r="K227" i="2"/>
  <c r="L227" i="2"/>
  <c r="F228" i="2"/>
  <c r="M221" i="2"/>
  <c r="M215" i="2"/>
  <c r="M207" i="2"/>
  <c r="M202" i="2"/>
  <c r="M196" i="2"/>
  <c r="M189" i="2"/>
  <c r="M158" i="2"/>
  <c r="F156" i="2"/>
  <c r="L185" i="2"/>
  <c r="J185" i="2"/>
  <c r="M185" i="2"/>
  <c r="J305" i="2"/>
  <c r="L305" i="2"/>
  <c r="M293" i="2"/>
  <c r="M290" i="2"/>
  <c r="M283" i="2"/>
  <c r="M281" i="2"/>
  <c r="M278" i="2"/>
  <c r="M275" i="2"/>
  <c r="M273" i="2"/>
  <c r="M271" i="2"/>
  <c r="M268" i="2"/>
  <c r="M266" i="2"/>
  <c r="M262" i="2"/>
  <c r="M260" i="2"/>
  <c r="M258" i="2"/>
  <c r="M255" i="2"/>
  <c r="M252" i="2"/>
  <c r="M250" i="2"/>
  <c r="M248" i="2"/>
  <c r="M247" i="2"/>
  <c r="M246" i="2"/>
  <c r="M245" i="2"/>
  <c r="M244" i="2"/>
  <c r="M241" i="2"/>
  <c r="M237" i="2"/>
  <c r="M233" i="2"/>
  <c r="M232" i="2"/>
  <c r="M230" i="2"/>
  <c r="J226" i="2"/>
  <c r="K226" i="2"/>
  <c r="L226" i="2"/>
  <c r="M225" i="2"/>
  <c r="M219" i="2"/>
  <c r="M216" i="2"/>
  <c r="M211" i="2"/>
  <c r="M208" i="2"/>
  <c r="M205" i="2"/>
  <c r="M197" i="2"/>
  <c r="M193" i="2"/>
  <c r="J191" i="2"/>
  <c r="K191" i="2"/>
  <c r="L191" i="2"/>
  <c r="M190" i="2"/>
  <c r="J181" i="2"/>
  <c r="K181" i="2"/>
  <c r="L181" i="2"/>
  <c r="M175" i="2"/>
  <c r="M170" i="2"/>
  <c r="J161" i="2"/>
  <c r="K161" i="2"/>
  <c r="L161" i="2"/>
  <c r="M153" i="2"/>
  <c r="M150" i="2"/>
  <c r="M186" i="2"/>
  <c r="M184" i="2"/>
  <c r="J182" i="2"/>
  <c r="K182" i="2"/>
  <c r="L182" i="2"/>
  <c r="M177" i="2"/>
  <c r="M176" i="2"/>
  <c r="M171" i="2"/>
  <c r="M167" i="2"/>
  <c r="J165" i="2"/>
  <c r="K165" i="2"/>
  <c r="L165" i="2"/>
  <c r="J160" i="2"/>
  <c r="K160" i="2"/>
  <c r="L160" i="2"/>
  <c r="M159" i="2"/>
  <c r="M154" i="2"/>
  <c r="M27" i="2"/>
  <c r="P27" i="2"/>
  <c r="M22" i="2"/>
  <c r="P22" i="2"/>
  <c r="M20" i="2"/>
  <c r="P20" i="2"/>
  <c r="M18" i="2"/>
  <c r="P18" i="2"/>
  <c r="M16" i="2"/>
  <c r="P16" i="2"/>
  <c r="M14" i="2"/>
  <c r="P14" i="2"/>
  <c r="M10" i="2"/>
  <c r="K179" i="5"/>
  <c r="F130" i="2"/>
  <c r="L127" i="2"/>
  <c r="K127" i="2"/>
  <c r="M127" i="2"/>
  <c r="I126" i="2"/>
  <c r="L126" i="2"/>
  <c r="M126" i="2"/>
  <c r="I101" i="2"/>
  <c r="L101" i="2"/>
  <c r="M101" i="2"/>
  <c r="F79" i="2"/>
  <c r="F78" i="2"/>
  <c r="L44" i="2"/>
  <c r="K44" i="2"/>
  <c r="M44" i="2"/>
  <c r="P44" i="2"/>
  <c r="L43" i="2"/>
  <c r="K43" i="2"/>
  <c r="M43" i="2"/>
  <c r="P43" i="2"/>
  <c r="L40" i="2"/>
  <c r="K40" i="2"/>
  <c r="M40" i="2"/>
  <c r="P40" i="2"/>
  <c r="L39" i="2"/>
  <c r="K39" i="2"/>
  <c r="M39" i="2"/>
  <c r="P39" i="2"/>
  <c r="L38" i="2"/>
  <c r="K38" i="2"/>
  <c r="M38" i="2"/>
  <c r="P38" i="2"/>
  <c r="L37" i="2"/>
  <c r="K37" i="2"/>
  <c r="M37" i="2"/>
  <c r="P37" i="2"/>
  <c r="L36" i="2"/>
  <c r="K36" i="2"/>
  <c r="M36" i="2"/>
  <c r="P36" i="2"/>
  <c r="L35" i="2"/>
  <c r="K35" i="2"/>
  <c r="M35" i="2"/>
  <c r="P35" i="2"/>
  <c r="L34" i="2"/>
  <c r="K34" i="2"/>
  <c r="M34" i="2"/>
  <c r="P34" i="2"/>
  <c r="L33" i="2"/>
  <c r="K33" i="2"/>
  <c r="M33" i="2"/>
  <c r="P33" i="2"/>
  <c r="L32" i="2"/>
  <c r="K32" i="2"/>
  <c r="M32" i="2"/>
  <c r="P32" i="2"/>
  <c r="L31" i="2"/>
  <c r="K31" i="2"/>
  <c r="I179" i="5"/>
  <c r="K31" i="1"/>
  <c r="K29" i="1"/>
  <c r="K26" i="1"/>
  <c r="K32" i="1"/>
  <c r="K301" i="1"/>
  <c r="J78" i="2"/>
  <c r="K78" i="2"/>
  <c r="L78" i="2"/>
  <c r="J79" i="2"/>
  <c r="K79" i="2"/>
  <c r="L79" i="2"/>
  <c r="K183" i="5"/>
  <c r="K185" i="5"/>
  <c r="K162" i="5"/>
  <c r="M160" i="2"/>
  <c r="M182" i="2"/>
  <c r="M161" i="2"/>
  <c r="M226" i="2"/>
  <c r="M305" i="2"/>
  <c r="M227" i="2"/>
  <c r="M303" i="2"/>
  <c r="M348" i="2"/>
  <c r="J464" i="2"/>
  <c r="K464" i="2"/>
  <c r="L464" i="2"/>
  <c r="M476" i="2"/>
  <c r="M483" i="2"/>
  <c r="M665" i="2"/>
  <c r="M306" i="2"/>
  <c r="M367" i="2"/>
  <c r="M405" i="2"/>
  <c r="M415" i="2"/>
  <c r="M493" i="2"/>
  <c r="M517" i="2"/>
  <c r="M555" i="2"/>
  <c r="M575" i="2"/>
  <c r="M600" i="2"/>
  <c r="K602" i="2"/>
  <c r="J602" i="2"/>
  <c r="L602" i="2"/>
  <c r="M602" i="2"/>
  <c r="F606" i="2"/>
  <c r="M634" i="2"/>
  <c r="M647" i="2"/>
  <c r="M664" i="2"/>
  <c r="K305" i="1"/>
  <c r="K302" i="1"/>
  <c r="K307" i="1"/>
  <c r="K8" i="1"/>
  <c r="J130" i="2"/>
  <c r="K130" i="2"/>
  <c r="L130" i="2"/>
  <c r="P10" i="2"/>
  <c r="M165" i="2"/>
  <c r="M31" i="2"/>
  <c r="P31" i="2"/>
  <c r="M181" i="2"/>
  <c r="M191" i="2"/>
  <c r="L156" i="2"/>
  <c r="J156" i="2"/>
  <c r="K156" i="2"/>
  <c r="J228" i="2"/>
  <c r="L228" i="2"/>
  <c r="K228" i="2"/>
  <c r="M304" i="2"/>
  <c r="M366" i="2"/>
  <c r="M397" i="2"/>
  <c r="J408" i="2"/>
  <c r="K408" i="2"/>
  <c r="L408" i="2"/>
  <c r="J419" i="2"/>
  <c r="K419" i="2"/>
  <c r="L419" i="2"/>
  <c r="M492" i="2"/>
  <c r="M531" i="2"/>
  <c r="M544" i="2"/>
  <c r="M556" i="2"/>
  <c r="M561" i="2"/>
  <c r="M576" i="2"/>
  <c r="M589" i="2"/>
  <c r="M592" i="2"/>
  <c r="M620" i="2"/>
  <c r="M626" i="2"/>
  <c r="M633" i="2"/>
  <c r="M187" i="2"/>
  <c r="M365" i="2"/>
  <c r="M370" i="2"/>
  <c r="M407" i="2"/>
  <c r="M418" i="2"/>
  <c r="M484" i="2"/>
  <c r="M499" i="2"/>
  <c r="M545" i="2"/>
  <c r="M572" i="2"/>
  <c r="M593" i="2"/>
  <c r="M637" i="2"/>
  <c r="M659" i="2"/>
  <c r="M666" i="2"/>
  <c r="M419" i="2"/>
  <c r="J606" i="2"/>
  <c r="K606" i="2"/>
  <c r="K776" i="2"/>
  <c r="L606" i="2"/>
  <c r="L776" i="2"/>
  <c r="M408" i="2"/>
  <c r="M228" i="2"/>
  <c r="M156" i="2"/>
  <c r="P74" i="2"/>
  <c r="M130" i="2"/>
  <c r="M79" i="2"/>
  <c r="M78" i="2"/>
  <c r="J776" i="2"/>
  <c r="M464" i="2"/>
  <c r="M606" i="2"/>
  <c r="M776" i="2"/>
  <c r="M777" i="2"/>
  <c r="M778" i="2"/>
  <c r="M779" i="2"/>
  <c r="M4" i="2"/>
  <c r="K20" i="13"/>
  <c r="K26" i="13"/>
  <c r="K30" i="13"/>
  <c r="K32" i="13"/>
  <c r="K14" i="13"/>
  <c r="K19" i="13"/>
  <c r="H37" i="13"/>
  <c r="I37" i="13"/>
  <c r="K27" i="13"/>
  <c r="K29" i="13"/>
  <c r="K36" i="13"/>
  <c r="K37" i="13"/>
  <c r="K39" i="13"/>
  <c r="K42" i="13"/>
  <c r="K43" i="13"/>
  <c r="K44" i="13"/>
</calcChain>
</file>

<file path=xl/sharedStrings.xml><?xml version="1.0" encoding="utf-8"?>
<sst xmlns="http://schemas.openxmlformats.org/spreadsheetml/2006/main" count="2455" uniqueCount="632">
  <si>
    <t>Nr.</t>
  </si>
  <si>
    <t>Ls</t>
  </si>
  <si>
    <t>ЗАКАЗЧИК : БАКУШИН В.И.</t>
  </si>
  <si>
    <t>ОБЬЕКТ: ГАРЦИЕМС, ЮРАС 39.</t>
  </si>
  <si>
    <t>СУММА LVL</t>
  </si>
  <si>
    <t>Демонтаж</t>
  </si>
  <si>
    <t>м2</t>
  </si>
  <si>
    <t>Д-ж остекления</t>
  </si>
  <si>
    <t>Д-ж декор. отд. цоколя</t>
  </si>
  <si>
    <t>Д-ж отливов и водостоков</t>
  </si>
  <si>
    <t>м.п.</t>
  </si>
  <si>
    <t>шт.</t>
  </si>
  <si>
    <t>Общестроительные работы</t>
  </si>
  <si>
    <t>м3</t>
  </si>
  <si>
    <t>Изготовление и установка опалубки</t>
  </si>
  <si>
    <t>Армирование</t>
  </si>
  <si>
    <t>тн.</t>
  </si>
  <si>
    <t>арматура АIII</t>
  </si>
  <si>
    <t>Бетонирование</t>
  </si>
  <si>
    <t>бетон В25</t>
  </si>
  <si>
    <t>Обратная засыпка пазух с упл. грунта</t>
  </si>
  <si>
    <t>Кладка к/б блоков</t>
  </si>
  <si>
    <t xml:space="preserve">Устройство гидро и теплоизоляции   </t>
  </si>
  <si>
    <t xml:space="preserve">Устройство горизонт. гидроизоляции    </t>
  </si>
  <si>
    <t>блоки "ФИБО"</t>
  </si>
  <si>
    <t>стиродур б=30</t>
  </si>
  <si>
    <t>рубероид</t>
  </si>
  <si>
    <t xml:space="preserve">пиломатериал </t>
  </si>
  <si>
    <t>каменная вата</t>
  </si>
  <si>
    <t>плёнка</t>
  </si>
  <si>
    <t>Устройство перекрытия над гаражом</t>
  </si>
  <si>
    <t>Устройство лестничных площадок</t>
  </si>
  <si>
    <t>Устройство перекрытия л.кл. в компл.</t>
  </si>
  <si>
    <t>Установка обвязочн. бруса по сущ. ст.</t>
  </si>
  <si>
    <t>мп.</t>
  </si>
  <si>
    <t>Устройство каркаса стен</t>
  </si>
  <si>
    <t>элементы крепления</t>
  </si>
  <si>
    <t>Обшивка каркаса наружн. стен</t>
  </si>
  <si>
    <t xml:space="preserve">регипс </t>
  </si>
  <si>
    <t>крепёж</t>
  </si>
  <si>
    <t>Устройство чёрных полов 2 этажа</t>
  </si>
  <si>
    <t>ондулат</t>
  </si>
  <si>
    <t xml:space="preserve">Устройство пола солярия </t>
  </si>
  <si>
    <t>Д-ж и перенос ворот гаража</t>
  </si>
  <si>
    <t>Д-ж бетонн.стены гаража</t>
  </si>
  <si>
    <t>Зачистка/выравнивание торцов стен</t>
  </si>
  <si>
    <t>проволока вязальная</t>
  </si>
  <si>
    <t>кг</t>
  </si>
  <si>
    <t xml:space="preserve">Демонтаж опалубки </t>
  </si>
  <si>
    <t>мастика</t>
  </si>
  <si>
    <t xml:space="preserve">цемент </t>
  </si>
  <si>
    <t xml:space="preserve">песок </t>
  </si>
  <si>
    <t>Устройство армир. цем.-песч. стяжки</t>
  </si>
  <si>
    <t>арм. сетка</t>
  </si>
  <si>
    <t>МПВ</t>
  </si>
  <si>
    <t>CERESIT 65</t>
  </si>
  <si>
    <t>Укладка плитки пола солярия</t>
  </si>
  <si>
    <t>плитка</t>
  </si>
  <si>
    <t>клей для плитки</t>
  </si>
  <si>
    <t>фуга</t>
  </si>
  <si>
    <t>Врезка окон VELUX</t>
  </si>
  <si>
    <t>Устройство ограждения солярия</t>
  </si>
  <si>
    <t>стойки металлические</t>
  </si>
  <si>
    <t>кирпич трубный</t>
  </si>
  <si>
    <t>кирпич шамотный</t>
  </si>
  <si>
    <t>дефлектор</t>
  </si>
  <si>
    <t>Устройство ограждения балкона</t>
  </si>
  <si>
    <t>пп</t>
  </si>
  <si>
    <t xml:space="preserve"> Наименование работ</t>
  </si>
  <si>
    <t>Ед.</t>
  </si>
  <si>
    <t>изм.</t>
  </si>
  <si>
    <t>Кол-</t>
  </si>
  <si>
    <t>во</t>
  </si>
  <si>
    <t>Всего</t>
  </si>
  <si>
    <t>Стоимость единицы в Ls</t>
  </si>
  <si>
    <t>работа</t>
  </si>
  <si>
    <t>мат-лы</t>
  </si>
  <si>
    <t xml:space="preserve">              Общая стоимость в Ls</t>
  </si>
  <si>
    <t xml:space="preserve">Устройство пола балкона  </t>
  </si>
  <si>
    <t>Укладка плитки пола балкона</t>
  </si>
  <si>
    <t>окна</t>
  </si>
  <si>
    <t>ворота</t>
  </si>
  <si>
    <t xml:space="preserve">Сантехнические работы </t>
  </si>
  <si>
    <t>шт</t>
  </si>
  <si>
    <t xml:space="preserve">Устройство пола 2 этажа  </t>
  </si>
  <si>
    <t>декор. пластик. уголок</t>
  </si>
  <si>
    <t>Отделка оконн. и  дверн. проёмов</t>
  </si>
  <si>
    <t>Снос перегородок 1-го этажа</t>
  </si>
  <si>
    <t>Устройство перегородок 1-го этажа</t>
  </si>
  <si>
    <t>CW75</t>
  </si>
  <si>
    <t>UW75</t>
  </si>
  <si>
    <t>GKB</t>
  </si>
  <si>
    <t>сетка</t>
  </si>
  <si>
    <t>UNIFLOTT</t>
  </si>
  <si>
    <t>VETONIT</t>
  </si>
  <si>
    <t>TIEFGRUND</t>
  </si>
  <si>
    <t>Устройство перегородок  2-го этажа</t>
  </si>
  <si>
    <t>потолки LATHAAG</t>
  </si>
  <si>
    <t>Укладка плитки в санузле 1-го этажа</t>
  </si>
  <si>
    <t>пол</t>
  </si>
  <si>
    <t>стены</t>
  </si>
  <si>
    <t>плитка пола</t>
  </si>
  <si>
    <t>плитка стен</t>
  </si>
  <si>
    <t>Укладка плитки пола санузла 2-го эт.</t>
  </si>
  <si>
    <t>Облицовка плиткой стен 2-го этажа</t>
  </si>
  <si>
    <t>Отделочные работы</t>
  </si>
  <si>
    <t>стен</t>
  </si>
  <si>
    <t>потолков</t>
  </si>
  <si>
    <t>VETONIT LR+</t>
  </si>
  <si>
    <t>Покраска ВДА</t>
  </si>
  <si>
    <t>краска ВДА</t>
  </si>
  <si>
    <t>Оклейка стен обоями</t>
  </si>
  <si>
    <t>обои</t>
  </si>
  <si>
    <t>Установка подоконной доски</t>
  </si>
  <si>
    <t>мп</t>
  </si>
  <si>
    <t>Устройство  покрытия пола :</t>
  </si>
  <si>
    <t>паркет</t>
  </si>
  <si>
    <t xml:space="preserve">мастика </t>
  </si>
  <si>
    <t>гвозди</t>
  </si>
  <si>
    <t>паркетный лак</t>
  </si>
  <si>
    <t>Установка плинтусов и наличников</t>
  </si>
  <si>
    <t>плинтус листв.</t>
  </si>
  <si>
    <t>наличник листв.</t>
  </si>
  <si>
    <t>Фасадные работы</t>
  </si>
  <si>
    <t>KERAKOLL</t>
  </si>
  <si>
    <t>Устройство  декорат. штукатурки</t>
  </si>
  <si>
    <t>Устройство отливов и водостоков</t>
  </si>
  <si>
    <t>отливы и водостоки(пластизол)</t>
  </si>
  <si>
    <t>кронштейны</t>
  </si>
  <si>
    <t>Д-ж подпорных стен</t>
  </si>
  <si>
    <t>Разработка грунта вручную</t>
  </si>
  <si>
    <t xml:space="preserve">Устройство  арм.бетонных полов </t>
  </si>
  <si>
    <t>арматурная сетка 4х100х100</t>
  </si>
  <si>
    <t xml:space="preserve">ОСБ плита шпунт. </t>
  </si>
  <si>
    <t xml:space="preserve">ОСБ плита нешпунт. </t>
  </si>
  <si>
    <t>дистанцеры</t>
  </si>
  <si>
    <t>пенополистирол FS20</t>
  </si>
  <si>
    <t>Д-ж кровли (комплекс)</t>
  </si>
  <si>
    <t>брус 150х150</t>
  </si>
  <si>
    <t>Изготовление и установка  лестницы</t>
  </si>
  <si>
    <t>марш в сборе</t>
  </si>
  <si>
    <t xml:space="preserve">декоративные элементы </t>
  </si>
  <si>
    <t>уп</t>
  </si>
  <si>
    <t>крепёжн. компл-кт</t>
  </si>
  <si>
    <t>Устройство кровли зимнего сада</t>
  </si>
  <si>
    <t>Устройство кровли над спальнями</t>
  </si>
  <si>
    <t>шурупы, скобы (комплект)</t>
  </si>
  <si>
    <t>уплотнение</t>
  </si>
  <si>
    <t>битумная мастика</t>
  </si>
  <si>
    <t>крепёж(комплект)</t>
  </si>
  <si>
    <t>Электроинсталляция</t>
  </si>
  <si>
    <t>Слаботочные системы</t>
  </si>
  <si>
    <t>Декоративная покраска (15 % от общ.)</t>
  </si>
  <si>
    <t>Грунтовые работы (прокладка кабеля)</t>
  </si>
  <si>
    <t xml:space="preserve"> окна VELUX 78х118</t>
  </si>
  <si>
    <t>Устройство пола зимнего сада</t>
  </si>
  <si>
    <t xml:space="preserve">двери наружные </t>
  </si>
  <si>
    <t xml:space="preserve">двери наружные остеклённые </t>
  </si>
  <si>
    <t>-</t>
  </si>
  <si>
    <t xml:space="preserve">двери наружные остеклённые  (купе) </t>
  </si>
  <si>
    <t>Д-ж обшивки стен (сайдинг)</t>
  </si>
  <si>
    <t>Д-ж  дверных проёмов</t>
  </si>
  <si>
    <t>Погрузка и вывоз отходов</t>
  </si>
  <si>
    <t>конт.</t>
  </si>
  <si>
    <t>подоконная доска (композит)</t>
  </si>
  <si>
    <t>Устройство подогрева полов :санузлы</t>
  </si>
  <si>
    <t>зимний сад</t>
  </si>
  <si>
    <t xml:space="preserve">кухня </t>
  </si>
  <si>
    <t xml:space="preserve"> гаражный въезд</t>
  </si>
  <si>
    <t>Укладка плитки пола зимнего сада</t>
  </si>
  <si>
    <t>комплектующие</t>
  </si>
  <si>
    <t>пристенный поручень</t>
  </si>
  <si>
    <t>нерж. поручень</t>
  </si>
  <si>
    <t xml:space="preserve">Утепление фасада </t>
  </si>
  <si>
    <t>Подготовка и покраска стен</t>
  </si>
  <si>
    <t>Устр-во потолков  с/узлов и кухни</t>
  </si>
  <si>
    <t>компл.</t>
  </si>
  <si>
    <t>Облицовка цоколя доломитом (суб)</t>
  </si>
  <si>
    <t>инс. м-мы</t>
  </si>
  <si>
    <t>СМЕТА N 5 - 11</t>
  </si>
  <si>
    <t>Составил :</t>
  </si>
  <si>
    <t>Утвердил :</t>
  </si>
  <si>
    <t>дымосборник (латунь)</t>
  </si>
  <si>
    <t>Устр-во  дымовых и вент. каналов</t>
  </si>
  <si>
    <t>Устр-во камина 1-го этажа</t>
  </si>
  <si>
    <t>Устр-во камина 2-го этажа</t>
  </si>
  <si>
    <t>кирпич  печной</t>
  </si>
  <si>
    <t>глина</t>
  </si>
  <si>
    <t xml:space="preserve">цемент жаростойкий </t>
  </si>
  <si>
    <t>меш.</t>
  </si>
  <si>
    <t>вата жаростойкая</t>
  </si>
  <si>
    <t>лист</t>
  </si>
  <si>
    <t>подоконная доска (мрамор) 0,25х2,00</t>
  </si>
  <si>
    <t>декорат. штукат.KNAUF/ATLAS</t>
  </si>
  <si>
    <t xml:space="preserve"> краска  фасадная</t>
  </si>
  <si>
    <t>Установка защитных жалюзи (суб)</t>
  </si>
  <si>
    <t>пластм. дюбель</t>
  </si>
  <si>
    <t>Устр-во оконных проёмов (угловых)</t>
  </si>
  <si>
    <t>Устр-во гидро и теплоизоляции з.сада</t>
  </si>
  <si>
    <t>Заполн-е оконных и дверных проёмов</t>
  </si>
  <si>
    <t>Устр-во остекл перегородок 2-го эт.</t>
  </si>
  <si>
    <t xml:space="preserve">дверь PVC </t>
  </si>
  <si>
    <t>Накладные и прибыль  7%</t>
  </si>
  <si>
    <t>Прямые затраты</t>
  </si>
  <si>
    <t>Вспомогательные работы 4%</t>
  </si>
  <si>
    <t>ВСЕГО</t>
  </si>
  <si>
    <t>Устройство перекрытия спален (пот.)</t>
  </si>
  <si>
    <t xml:space="preserve">двери внутренние остеклённые  </t>
  </si>
  <si>
    <t>топка чугунная (готовая)</t>
  </si>
  <si>
    <t xml:space="preserve">остеклённая перегородка  PVC </t>
  </si>
  <si>
    <t>компл</t>
  </si>
  <si>
    <t>СМЕТА N 6 - 11</t>
  </si>
  <si>
    <t>Накладные и прибыль  5%</t>
  </si>
  <si>
    <t xml:space="preserve">Устр-во камина 2-го этажа    </t>
  </si>
  <si>
    <t>Затраты на обогрев</t>
  </si>
  <si>
    <t>сут.</t>
  </si>
  <si>
    <t>Калорифер, топливо</t>
  </si>
  <si>
    <t>Проектирование внутр. инж. сетей</t>
  </si>
  <si>
    <t>Монтаж водопровода г. и х. воды</t>
  </si>
  <si>
    <t>Монтаж  канализации</t>
  </si>
  <si>
    <t>мест</t>
  </si>
  <si>
    <t>Монтаж отопительной системы</t>
  </si>
  <si>
    <t>трубы и комплектующие</t>
  </si>
  <si>
    <t>комбинированный котёл</t>
  </si>
  <si>
    <t>топливная ёмкость</t>
  </si>
  <si>
    <t>обои/клей</t>
  </si>
  <si>
    <t>Замена плитки на веранде и лестнице</t>
  </si>
  <si>
    <t xml:space="preserve"> отопительные приборы "ZENITH"</t>
  </si>
  <si>
    <t>унитазы "MIRA"</t>
  </si>
  <si>
    <t>раковины "MIRA"</t>
  </si>
  <si>
    <t>душевая кабина +поддон(90х90)</t>
  </si>
  <si>
    <t>мойка стальная нерж.</t>
  </si>
  <si>
    <t>бойлер 100L, вертикальный</t>
  </si>
  <si>
    <t>ванна "MALIA"(Italia), угловая</t>
  </si>
  <si>
    <t>смесители"RAMON SOLER", 2+2+1</t>
  </si>
  <si>
    <t>брус 100х150</t>
  </si>
  <si>
    <t>пенополистирол FS30</t>
  </si>
  <si>
    <t>Устройство арт скважины</t>
  </si>
  <si>
    <t>Стены</t>
  </si>
  <si>
    <t>Перекрытия</t>
  </si>
  <si>
    <t>Крыша</t>
  </si>
  <si>
    <t>Обустройство ЛК</t>
  </si>
  <si>
    <t>Дымоходы и вентканалы</t>
  </si>
  <si>
    <t>Д-ж наружной стены</t>
  </si>
  <si>
    <t>Усиление существующих фундаментов</t>
  </si>
  <si>
    <t>Вскрытие полов вдоль оси "С"</t>
  </si>
  <si>
    <t>Изготовление, установка и де-
монтаж опалубки</t>
  </si>
  <si>
    <r>
      <t>То же на оси"3"(</t>
    </r>
    <r>
      <rPr>
        <b/>
        <sz val="10"/>
        <rFont val="Arial"/>
        <family val="2"/>
      </rPr>
      <t>сеч.300х440h</t>
    </r>
    <r>
      <rPr>
        <sz val="10"/>
        <rFont val="Arial"/>
        <charset val="204"/>
      </rPr>
      <t>)</t>
    </r>
  </si>
  <si>
    <r>
      <t>То же на оси"В+4,2м"
(</t>
    </r>
    <r>
      <rPr>
        <b/>
        <sz val="10"/>
        <rFont val="Arial"/>
        <family val="2"/>
      </rPr>
      <t>сеч.400х440h</t>
    </r>
    <r>
      <rPr>
        <sz val="10"/>
        <rFont val="Arial"/>
        <charset val="204"/>
      </rPr>
      <t>)</t>
    </r>
  </si>
  <si>
    <r>
      <t>То же на оси"В+6,0м"
(</t>
    </r>
    <r>
      <rPr>
        <b/>
        <sz val="10"/>
        <rFont val="Arial"/>
        <family val="2"/>
      </rPr>
      <t>сеч.400х440h</t>
    </r>
    <r>
      <rPr>
        <sz val="10"/>
        <rFont val="Arial"/>
        <charset val="204"/>
      </rPr>
      <t>)</t>
    </r>
  </si>
  <si>
    <r>
      <t>То же на оси"В+7,2м"
(</t>
    </r>
    <r>
      <rPr>
        <b/>
        <sz val="10"/>
        <rFont val="Arial"/>
        <family val="2"/>
      </rPr>
      <t>сеч400х440h</t>
    </r>
    <r>
      <rPr>
        <sz val="10"/>
        <rFont val="Arial"/>
        <charset val="204"/>
      </rPr>
      <t>)</t>
    </r>
  </si>
  <si>
    <t>шпильки в к-те с гайками и шайб.</t>
  </si>
  <si>
    <t>Разработка грунта вручную и
обратная засыпка пазух</t>
  </si>
  <si>
    <t>Изготовление, установка опалубки и
ее последующий демонтаж</t>
  </si>
  <si>
    <t>Устройство фундамента под колонну</t>
  </si>
  <si>
    <t>вскрытие полов на веранде</t>
  </si>
  <si>
    <t>Устройство фундаментов в гараже</t>
  </si>
  <si>
    <t>Устройство бетонных стен гаража
и лестничной клетки</t>
  </si>
  <si>
    <t>доска антисептированная</t>
  </si>
  <si>
    <t>макрофлекс</t>
  </si>
  <si>
    <t>Устройство пилястр в гараже</t>
  </si>
  <si>
    <t>Устройство металлических перемычек</t>
  </si>
  <si>
    <t>швелер №20 L=2,75х4шт</t>
  </si>
  <si>
    <t>№12 L=2,00х2шт</t>
  </si>
  <si>
    <t>№20 L=3,50х2шт</t>
  </si>
  <si>
    <t>№24 L=3,50х2шт</t>
  </si>
  <si>
    <t>Устройство монолитного перекрытия
над котельной</t>
  </si>
  <si>
    <t>Устройство и демонтаж опалубки</t>
  </si>
  <si>
    <t>монтаж металлоконструкций</t>
  </si>
  <si>
    <t>Демонтаж полов и перекрытия над
котельной</t>
  </si>
  <si>
    <t>Опалубочные работы</t>
  </si>
  <si>
    <t xml:space="preserve">Армирование </t>
  </si>
  <si>
    <t>швелер №12 L=1,50х6шт</t>
  </si>
  <si>
    <t>м</t>
  </si>
  <si>
    <t>к-кт</t>
  </si>
  <si>
    <t>туб</t>
  </si>
  <si>
    <t>двутавр №16</t>
  </si>
  <si>
    <t>швелер №30 L=4м х 4шт</t>
  </si>
  <si>
    <t>№
п/п</t>
  </si>
  <si>
    <t>Ед.
изм.</t>
  </si>
  <si>
    <t>Стоимость единицы
/ Ls /</t>
  </si>
  <si>
    <t>Полная стоимость
/ Ls /</t>
  </si>
  <si>
    <t>Устройство новых фундаментов под стены</t>
  </si>
  <si>
    <t>блоки "ФИБО" b=300mm</t>
  </si>
  <si>
    <t>блоки "ФИБО" b=250mm</t>
  </si>
  <si>
    <t>Укладка обвязочного бруса по стенам</t>
  </si>
  <si>
    <t>Устройство черного потолка</t>
  </si>
  <si>
    <t>Устройство шумоизоляции</t>
  </si>
  <si>
    <t>Устройство выравнивающей обрешетки</t>
  </si>
  <si>
    <t>Устройство основания пола</t>
  </si>
  <si>
    <t>То же балок перекрытия</t>
  </si>
  <si>
    <t>швелер№20 L=6,21м</t>
  </si>
  <si>
    <t>двутавр№25В1 L=32,6м</t>
  </si>
  <si>
    <t>уголок 100х8 L=66м</t>
  </si>
  <si>
    <t>лист b=8мм ( 0,23м2 )</t>
  </si>
  <si>
    <t>лист b=14мм ( 0,37м2 )</t>
  </si>
  <si>
    <t>деревянный брус 150х200</t>
  </si>
  <si>
    <t>шурупы L=50мм</t>
  </si>
  <si>
    <t>фанера b=12мм</t>
  </si>
  <si>
    <t>то же 120х220</t>
  </si>
  <si>
    <t>то же 140х220</t>
  </si>
  <si>
    <t>то же 150х100</t>
  </si>
  <si>
    <t>то же 40х60</t>
  </si>
  <si>
    <t>минвата рыхлая " PAROK " b=100мм</t>
  </si>
  <si>
    <t>Устройство монолитного армопояса</t>
  </si>
  <si>
    <t>пиломатериал</t>
  </si>
  <si>
    <t>арматура</t>
  </si>
  <si>
    <t>Бетон В25</t>
  </si>
  <si>
    <t>Изготовление и монтаж колонны</t>
  </si>
  <si>
    <t>Приготовление раствора на месте</t>
  </si>
  <si>
    <t>полоса 40х4мм ( 0,22м2 )</t>
  </si>
  <si>
    <t>гвозди L=120мм</t>
  </si>
  <si>
    <t>Изготовление и установка заклад-
ных деталей</t>
  </si>
  <si>
    <t>Укладка обвязочного бруса по сте-
нам</t>
  </si>
  <si>
    <t>Установка мауэрлатного бруса</t>
  </si>
  <si>
    <t>Пленочная пароизоляция</t>
  </si>
  <si>
    <t>Укладка утеплителя</t>
  </si>
  <si>
    <t xml:space="preserve">Верхний настил </t>
  </si>
  <si>
    <t>Устройство основания кровли</t>
  </si>
  <si>
    <t>Укладка мягкой кровли</t>
  </si>
  <si>
    <t>брус 150х200</t>
  </si>
  <si>
    <t>брус 100х200</t>
  </si>
  <si>
    <t>фанера b=8мм</t>
  </si>
  <si>
    <t>минвата "PAROK' рыхлая</t>
  </si>
  <si>
    <t>мягкая кровля</t>
  </si>
  <si>
    <t>вентпродухи</t>
  </si>
  <si>
    <t>кровельные гвозди</t>
  </si>
  <si>
    <t>Вентилирующая деревянная обре-
шетка</t>
  </si>
  <si>
    <t>Установка вентиляционных про-
духов</t>
  </si>
  <si>
    <t>Устройство карниза</t>
  </si>
  <si>
    <t>Устройство крыши над помещени-
ями 201;202</t>
  </si>
  <si>
    <t>Установка капельника</t>
  </si>
  <si>
    <t>MPV</t>
  </si>
  <si>
    <t>плиточный клей</t>
  </si>
  <si>
    <t>Устройство крыши над лестничной
клеткой</t>
  </si>
  <si>
    <t>Установка стропил</t>
  </si>
  <si>
    <t>Устройство оклеечной гидро-
изоляции</t>
  </si>
  <si>
    <t>Изготовление и установка колонны</t>
  </si>
  <si>
    <t>брус 120х200</t>
  </si>
  <si>
    <t>битумен</t>
  </si>
  <si>
    <t>финишное рубероидное покрытие</t>
  </si>
  <si>
    <t>брус 100х120</t>
  </si>
  <si>
    <t>брус 65х200</t>
  </si>
  <si>
    <t>Устройство крыши над спальнями</t>
  </si>
  <si>
    <t>Врезка и установка окон "VELUX'</t>
  </si>
  <si>
    <t xml:space="preserve">Устройство гидроизоляции
наружных стен   </t>
  </si>
  <si>
    <t>песок</t>
  </si>
  <si>
    <t>цемент</t>
  </si>
  <si>
    <t>тн</t>
  </si>
  <si>
    <t>антипирен</t>
  </si>
  <si>
    <t xml:space="preserve">антисептик
</t>
  </si>
  <si>
    <t>Устройствово вентпроходов в на
ружных стенах</t>
  </si>
  <si>
    <t>жалюзийные решетки</t>
  </si>
  <si>
    <t>Обработка пиломатериалов</t>
  </si>
  <si>
    <r>
      <t>Второй этаж и крыша</t>
    </r>
    <r>
      <rPr>
        <sz val="10"/>
        <rFont val="Arial"/>
        <charset val="204"/>
      </rPr>
      <t xml:space="preserve">
(площ.пола+площ.крыши)</t>
    </r>
  </si>
  <si>
    <r>
      <t xml:space="preserve">Работы на уровне первого этажа 
</t>
    </r>
    <r>
      <rPr>
        <sz val="10"/>
        <rFont val="Arial"/>
        <charset val="204"/>
      </rPr>
      <t>(площ.пола)</t>
    </r>
  </si>
  <si>
    <t>Предотделочные работы</t>
  </si>
  <si>
    <t>Перенос оконного проема в помещ.106</t>
  </si>
  <si>
    <t>Восстановление основания пола в 
помещении 106</t>
  </si>
  <si>
    <t>То же в помещ.104</t>
  </si>
  <si>
    <t>То же в помещ.102</t>
  </si>
  <si>
    <t>Подвал</t>
  </si>
  <si>
    <t>Укладка полиэтиленовой пленки</t>
  </si>
  <si>
    <t>Укладка теплоизоляционной прослойки</t>
  </si>
  <si>
    <t>пленка ПХВ</t>
  </si>
  <si>
    <t>минвата "PAROK" b=50мм</t>
  </si>
  <si>
    <t>арм. сетка 3х3х100х100</t>
  </si>
  <si>
    <t>раствор М100</t>
  </si>
  <si>
    <t xml:space="preserve">Устройство армированной ц/п стяжки
</t>
  </si>
  <si>
    <t>1-ый этаж</t>
  </si>
  <si>
    <t>Установка дверных блоков</t>
  </si>
  <si>
    <t>Установка ворот</t>
  </si>
  <si>
    <t>оконныйблок</t>
  </si>
  <si>
    <t xml:space="preserve">макрофлекс </t>
  </si>
  <si>
    <t>дюбели</t>
  </si>
  <si>
    <t>Установка подоконника</t>
  </si>
  <si>
    <t>материал по месту</t>
  </si>
  <si>
    <t>Обшивка стен, перегородок и потолков
 1-го этажа ГК по металлокаркасу
 "KNAUF"</t>
  </si>
  <si>
    <t>2-ой этаж</t>
  </si>
  <si>
    <t>Устройство металлокаркасных перего-
родок системы  "KNAUF"</t>
  </si>
  <si>
    <t>Обшивка стен и потолков 2-го этажа ГК 
по металлокаркасу "KNAUF"</t>
  </si>
  <si>
    <t>Установка подоконников</t>
  </si>
  <si>
    <t>Установка оконных блоков</t>
  </si>
  <si>
    <t>П-образный профиль PVC</t>
  </si>
  <si>
    <t>Устройство стеклянной перегородки 
зимнего сада с установкой дверей 
на балкон</t>
  </si>
  <si>
    <t xml:space="preserve">подоконная доска (мрамор)  0,25х2,00 </t>
  </si>
  <si>
    <t>Д-ж  ворот гаража</t>
  </si>
  <si>
    <t>дверной блок внутренний</t>
  </si>
  <si>
    <t xml:space="preserve">дверной блок остекленный </t>
  </si>
  <si>
    <t>потолки "LATHAAG"</t>
  </si>
  <si>
    <t>Внутренние отделочные работы</t>
  </si>
  <si>
    <t>TIEFINGRUND</t>
  </si>
  <si>
    <t>CEREZIT</t>
  </si>
  <si>
    <t>Выравнивание полов</t>
  </si>
  <si>
    <t xml:space="preserve">Устр-во камина </t>
  </si>
  <si>
    <t>пленка</t>
  </si>
  <si>
    <t xml:space="preserve"> паркетная доска</t>
  </si>
  <si>
    <t>Устройство обмазочной паро-
изоляции</t>
  </si>
  <si>
    <t>плиточный уголок</t>
  </si>
  <si>
    <t>и потолков</t>
  </si>
  <si>
    <t>Покраска потолков</t>
  </si>
  <si>
    <t>МРV</t>
  </si>
  <si>
    <t xml:space="preserve"> капельник</t>
  </si>
  <si>
    <t>Отделочные работы на лест-
ничной клетке</t>
  </si>
  <si>
    <t>Облицовка полов керамич. плиткой</t>
  </si>
  <si>
    <t>Паркетные полы на лестн.площ.</t>
  </si>
  <si>
    <t>Укладка теплоизоляц.прослойки</t>
  </si>
  <si>
    <r>
      <t xml:space="preserve">Декоративная покраска
</t>
    </r>
    <r>
      <rPr>
        <sz val="10"/>
        <rFont val="Arial"/>
        <charset val="204"/>
      </rPr>
      <t>(15 % от общ.площ.стен)</t>
    </r>
  </si>
  <si>
    <t>Подготовка и покраска поверхностей</t>
  </si>
  <si>
    <t xml:space="preserve">Установка плинтусов </t>
  </si>
  <si>
    <t>Установка наличников</t>
  </si>
  <si>
    <t>(Потолки помещ-ий 001+ 002)</t>
  </si>
  <si>
    <t xml:space="preserve">двери внутренние  </t>
  </si>
  <si>
    <t>UD х3м</t>
  </si>
  <si>
    <t>CD х3м</t>
  </si>
  <si>
    <t>CW 75х2,6м</t>
  </si>
  <si>
    <t>UW 75х4м</t>
  </si>
  <si>
    <t>CW 75х3м</t>
  </si>
  <si>
    <t>Устр-во потолка в санузле</t>
  </si>
  <si>
    <t>Устройство утепленных деревянных
каркасных стен</t>
  </si>
  <si>
    <t>ROTBAND</t>
  </si>
  <si>
    <t>Устройство обмазочной паро-
изоляции пола</t>
  </si>
  <si>
    <t>Устройство паркетного пола</t>
  </si>
  <si>
    <t xml:space="preserve"> гвозди </t>
  </si>
  <si>
    <t>лак</t>
  </si>
  <si>
    <t>Облицовка пола керамичес-
кой плиткой ( 15% )</t>
  </si>
  <si>
    <t>Установка наружного дверного блока</t>
  </si>
  <si>
    <t>двери металлические</t>
  </si>
  <si>
    <t>Окраска потолков</t>
  </si>
  <si>
    <t>Устройство обмазочной паро
изоляции полов</t>
  </si>
  <si>
    <t>на пол</t>
  </si>
  <si>
    <t>на стены</t>
  </si>
  <si>
    <t>силикон</t>
  </si>
  <si>
    <t>Устр-во потолков кухни</t>
  </si>
  <si>
    <t>ламинатная доска</t>
  </si>
  <si>
    <t xml:space="preserve"> ламинатная доска</t>
  </si>
  <si>
    <t>мастика MIRA</t>
  </si>
  <si>
    <t>грунт MIRA</t>
  </si>
  <si>
    <t>лента MIRA</t>
  </si>
  <si>
    <t>л</t>
  </si>
  <si>
    <t>Укладка плитки на пол</t>
  </si>
  <si>
    <t xml:space="preserve">Облицовка плиткой стен </t>
  </si>
  <si>
    <t>Устройство оклеечной гидрои-
золяции пола и обмазочной стен</t>
  </si>
  <si>
    <t xml:space="preserve">Установка плинтусов и наличников </t>
  </si>
  <si>
    <t>Подготовка и покраска поверх-
ностей стен и</t>
  </si>
  <si>
    <t xml:space="preserve">     потолков</t>
  </si>
  <si>
    <t>Обшивка стен и потолка лестничной 
клетки ГК по металлокаркасу "KNAUF"</t>
  </si>
  <si>
    <t>п-образный профиль PVC х3м</t>
  </si>
  <si>
    <t>Работы в котельной</t>
  </si>
  <si>
    <t>Внутренняя сантехника</t>
  </si>
  <si>
    <t>Теплые полы</t>
  </si>
  <si>
    <t>Электромонтажные работы</t>
  </si>
  <si>
    <t>Комплекс работ с подключением</t>
  </si>
  <si>
    <t>Силовая и осветительная сети  без 
стоимости освет приборов</t>
  </si>
  <si>
    <t>санузлы</t>
  </si>
  <si>
    <t>Устройство подогрева полов :</t>
  </si>
  <si>
    <t>Отдел.работы на солярии</t>
  </si>
  <si>
    <t>VITONIT 3000</t>
  </si>
  <si>
    <t>Спецработы</t>
  </si>
  <si>
    <t>Колич.</t>
  </si>
  <si>
    <r>
      <t>Работы на оси "В+4,5м" аналогич-
ные пп.1а-10а (</t>
    </r>
    <r>
      <rPr>
        <b/>
        <sz val="10"/>
        <rFont val="Arial"/>
        <family val="2"/>
      </rPr>
      <t>сечение 5-5</t>
    </r>
    <r>
      <rPr>
        <sz val="10"/>
        <rFont val="Arial"/>
        <charset val="204"/>
      </rPr>
      <t>)</t>
    </r>
  </si>
  <si>
    <r>
      <t>То же на оси "В"  (</t>
    </r>
    <r>
      <rPr>
        <b/>
        <sz val="10"/>
        <rFont val="Arial"/>
        <family val="2"/>
      </rPr>
      <t>сечение 5-5</t>
    </r>
    <r>
      <rPr>
        <sz val="10"/>
        <rFont val="Arial"/>
        <charset val="204"/>
      </rPr>
      <t>)</t>
    </r>
  </si>
  <si>
    <r>
      <t>То же на оси"3" (</t>
    </r>
    <r>
      <rPr>
        <b/>
        <sz val="10"/>
        <rFont val="Arial"/>
        <family val="2"/>
      </rPr>
      <t>сечение 5-5</t>
    </r>
    <r>
      <rPr>
        <sz val="10"/>
        <rFont val="Arial"/>
        <charset val="204"/>
      </rPr>
      <t>)</t>
    </r>
  </si>
  <si>
    <r>
      <t>То же на оси"2+1,0м" (</t>
    </r>
    <r>
      <rPr>
        <b/>
        <sz val="10"/>
        <rFont val="Arial"/>
        <family val="2"/>
      </rPr>
      <t>сеч.300х440h</t>
    </r>
    <r>
      <rPr>
        <sz val="10"/>
        <rFont val="Arial"/>
        <charset val="204"/>
      </rPr>
      <t>)</t>
    </r>
  </si>
  <si>
    <r>
      <t>То же на оси"2+2,8м"(</t>
    </r>
    <r>
      <rPr>
        <b/>
        <sz val="10"/>
        <rFont val="Arial"/>
        <family val="2"/>
      </rPr>
      <t>сеч.400х440h</t>
    </r>
    <r>
      <rPr>
        <sz val="10"/>
        <rFont val="Arial"/>
        <charset val="204"/>
      </rPr>
      <t>)</t>
    </r>
  </si>
  <si>
    <r>
      <t>( Полы на уровне</t>
    </r>
    <r>
      <rPr>
        <b/>
        <sz val="10"/>
        <rFont val="Arial"/>
        <family val="2"/>
      </rPr>
      <t xml:space="preserve"> -1,65м</t>
    </r>
    <r>
      <rPr>
        <sz val="10"/>
        <rFont val="Arial"/>
        <charset val="204"/>
      </rPr>
      <t xml:space="preserve"> )</t>
    </r>
  </si>
  <si>
    <t>/Развернутая/</t>
  </si>
  <si>
    <t>пом.001</t>
  </si>
  <si>
    <t>пом.002</t>
  </si>
  <si>
    <t>пом.102</t>
  </si>
  <si>
    <t>пом.103</t>
  </si>
  <si>
    <t>Подготовка поверхностей</t>
  </si>
  <si>
    <t>пом.104</t>
  </si>
  <si>
    <t>Подготовка и покраска поверх-
            ностей стен</t>
  </si>
  <si>
    <t>пом.105</t>
  </si>
  <si>
    <t>пом.106</t>
  </si>
  <si>
    <t>Подготовка поверхностей стен</t>
  </si>
  <si>
    <t>пом.201</t>
  </si>
  <si>
    <t>пом.202</t>
  </si>
  <si>
    <t>пом.203</t>
  </si>
  <si>
    <t>пом.204</t>
  </si>
  <si>
    <t>пом.205</t>
  </si>
  <si>
    <t xml:space="preserve">Устройство оклеечной гидроизо-
            ляции пола и обмазочной стен  </t>
  </si>
  <si>
    <t>пом.206</t>
  </si>
  <si>
    <t>Подготовка и покраска поверх-
            ности потолка</t>
  </si>
  <si>
    <t>пом.207</t>
  </si>
  <si>
    <t>пом.208</t>
  </si>
  <si>
    <t>Прочие затраты</t>
  </si>
  <si>
    <t>Итого прямые затраты</t>
  </si>
  <si>
    <t>Погрузка и вывоз грунта</t>
  </si>
  <si>
    <t>Разработка грунта  механич.</t>
  </si>
  <si>
    <r>
      <t>Временная стяжка фундамента 
2шв№30 L=8м; 6шт шпилек D20
L=0,6м; демонтаж (</t>
    </r>
    <r>
      <rPr>
        <b/>
        <sz val="10"/>
        <rFont val="Arial"/>
        <family val="2"/>
      </rPr>
      <t>сечение 5-5</t>
    </r>
    <r>
      <rPr>
        <sz val="10"/>
        <rFont val="Arial"/>
        <charset val="204"/>
      </rPr>
      <t>)</t>
    </r>
  </si>
  <si>
    <t>рейка 40х50</t>
  </si>
  <si>
    <t>брус 40х60</t>
  </si>
  <si>
    <t>антисептика и огнезащита пило-
материалов</t>
  </si>
  <si>
    <t>Устройство деформационного шва</t>
  </si>
  <si>
    <t xml:space="preserve">Выравнивание поверхностей  стен </t>
  </si>
  <si>
    <t>Устройство бетонных полов гаража</t>
  </si>
  <si>
    <t>усилитель бетона "ARMOSHIELD"</t>
  </si>
  <si>
    <t xml:space="preserve">Установка растворных плинтусов </t>
  </si>
  <si>
    <t>наличник MDF</t>
  </si>
  <si>
    <t>Покраска стен</t>
  </si>
  <si>
    <t>уп.</t>
  </si>
  <si>
    <t xml:space="preserve">Устройство бетонных полов </t>
  </si>
  <si>
    <t>краска ПФ</t>
  </si>
  <si>
    <t>Устройство обмазочной пароизоляции</t>
  </si>
  <si>
    <t>Облицовка пола керамич. плиткой</t>
  </si>
  <si>
    <t>Устройство паркетного покрытия</t>
  </si>
  <si>
    <t>Облицовка пола керамичес. плиткой</t>
  </si>
  <si>
    <t>Облицовка стен керамичес. плиткой</t>
  </si>
  <si>
    <t xml:space="preserve">Устройство обмазочной гидроизоляции </t>
  </si>
  <si>
    <t>Устройство  покрытия пола (таркет):</t>
  </si>
  <si>
    <t>Устройство плинтуса из плитки</t>
  </si>
  <si>
    <t>Устройство оклеечной гидроизоляции пола</t>
  </si>
  <si>
    <t>краска фактурная</t>
  </si>
  <si>
    <t>солярий</t>
  </si>
  <si>
    <t>Разработка грунта вручную/обратная засыпка пазух/предварительное укрепление грунта</t>
  </si>
  <si>
    <t>инстр;
мехзмы</t>
  </si>
  <si>
    <t xml:space="preserve">Механич  разработка грунта </t>
  </si>
  <si>
    <t>Устройство чёрных полов 1 этажа</t>
  </si>
  <si>
    <t xml:space="preserve">ЗАКАЗЧИК : </t>
  </si>
  <si>
    <t>армир. сетка</t>
  </si>
  <si>
    <t xml:space="preserve">цемент  </t>
  </si>
  <si>
    <t>Изготовление и монтаж лестницы</t>
  </si>
  <si>
    <t xml:space="preserve">ОСБ -22 </t>
  </si>
  <si>
    <t>антисептик</t>
  </si>
  <si>
    <t>Обшивка  стен</t>
  </si>
  <si>
    <t>GKBI</t>
  </si>
  <si>
    <t>Perlfix</t>
  </si>
  <si>
    <t>Устройство перекрытия  2-го этажа</t>
  </si>
  <si>
    <t xml:space="preserve"> пиломатериал чёрного потолка</t>
  </si>
  <si>
    <t>пергамин+вата</t>
  </si>
  <si>
    <t>Заполн-е оконных  проёмов</t>
  </si>
  <si>
    <t>Заполн-е  дверных проёмов</t>
  </si>
  <si>
    <t xml:space="preserve">двери внутренние </t>
  </si>
  <si>
    <t>амортлента</t>
  </si>
  <si>
    <t>гидроизоляция</t>
  </si>
  <si>
    <t>плинтус 1 и 2-го этажей</t>
  </si>
  <si>
    <t>Устройство потолков 2-го этажа</t>
  </si>
  <si>
    <t>краска ВДА (без тонировки)</t>
  </si>
  <si>
    <t>Устройство потолков 1-го этажа</t>
  </si>
  <si>
    <t>CD</t>
  </si>
  <si>
    <t>UD</t>
  </si>
  <si>
    <t xml:space="preserve">Устройство кровли </t>
  </si>
  <si>
    <t>Сантехнические работы</t>
  </si>
  <si>
    <t>комп.</t>
  </si>
  <si>
    <t>ОБЬЕКТ: Vecāķi, Putu iela 1, viesu nams.</t>
  </si>
  <si>
    <t>СМЕТА N 11 - 09.</t>
  </si>
  <si>
    <t>ОБЬЕКТ: ВЕЦАКИ, ПУТУ 1а.</t>
  </si>
  <si>
    <t>vien.</t>
  </si>
  <si>
    <t xml:space="preserve"> Darbu nosaukums</t>
  </si>
  <si>
    <t>Mēr</t>
  </si>
  <si>
    <t>Daudz.</t>
  </si>
  <si>
    <t>darbs</t>
  </si>
  <si>
    <t>%</t>
  </si>
  <si>
    <t>gab.</t>
  </si>
  <si>
    <t>kompl.</t>
  </si>
  <si>
    <t xml:space="preserve">Transporta izdevumi </t>
  </si>
  <si>
    <t>Vienas vienības izmaksas (Ls)</t>
  </si>
  <si>
    <t>Līgumcena (bez PVN), Ls</t>
  </si>
  <si>
    <t>materiāli</t>
  </si>
  <si>
    <t>mehānismi</t>
  </si>
  <si>
    <t>Kopējās izmaksas (Ls)</t>
  </si>
  <si>
    <t>Skābeklis, propāns, elektrodi, griezējdiski</t>
  </si>
  <si>
    <t xml:space="preserve">Kopā: </t>
  </si>
  <si>
    <t>Kopsumma bez PVN</t>
  </si>
  <si>
    <t>Pavisam kopā</t>
  </si>
  <si>
    <t>PVN (22%)</t>
  </si>
  <si>
    <t>Dubultcaurule izolēta 168+168/450</t>
  </si>
  <si>
    <t>Gala uzmava dubultcaurulei 168+168/450</t>
  </si>
  <si>
    <t>Savienojuma izolācijas materiāli 168+168/400</t>
  </si>
  <si>
    <t>Signalizācijas kontroles sistēma</t>
  </si>
  <si>
    <t>viet.</t>
  </si>
  <si>
    <t>Celtnis</t>
  </si>
  <si>
    <t>3. daļa: Zemes darbi</t>
  </si>
  <si>
    <t>m3</t>
  </si>
  <si>
    <t>m.</t>
  </si>
  <si>
    <t>Cauruļvadu apbēršana ar smilti</t>
  </si>
  <si>
    <t>Atlikušais tranšejas aizpildījums ar grunti līdz ielas segumam</t>
  </si>
  <si>
    <t>4. daļa: Labiekārtošanas darbi</t>
  </si>
  <si>
    <t>m2</t>
  </si>
  <si>
    <t>5. daļa: Palīgmateriāli, aprīkojums</t>
  </si>
  <si>
    <t>1.1.</t>
  </si>
  <si>
    <t>Siltumtīklu kamera K-2-16 rekonstrukcija</t>
  </si>
  <si>
    <t>Melnzemes atvešana</t>
  </si>
  <si>
    <t>Asfaltbetona seguma 7cm biezumā atjaunošana kopā ar ielas šķembu kārtu 15cm biezumā</t>
  </si>
  <si>
    <t>Caurules DN 200 demontāža un izvešana (attālumā līdz 10km)</t>
  </si>
  <si>
    <t>Grunts izrakšana ar ekskavātoru</t>
  </si>
  <si>
    <t>5.1.</t>
  </si>
  <si>
    <t>5.2.</t>
  </si>
  <si>
    <t>5.3.</t>
  </si>
  <si>
    <t>6. daļa: Virsizdevumi</t>
  </si>
  <si>
    <t>1.2.</t>
  </si>
  <si>
    <t>2.1.</t>
  </si>
  <si>
    <t>2.2.</t>
  </si>
  <si>
    <t>2.3.</t>
  </si>
  <si>
    <t>2.4.</t>
  </si>
  <si>
    <t>2.5.</t>
  </si>
  <si>
    <t>2.6.</t>
  </si>
  <si>
    <t>2.7.</t>
  </si>
  <si>
    <t>3.1.</t>
  </si>
  <si>
    <t>3.2.</t>
  </si>
  <si>
    <t>3.3.</t>
  </si>
  <si>
    <t>4.4.</t>
  </si>
  <si>
    <t>4.1.</t>
  </si>
  <si>
    <t>4.2.</t>
  </si>
  <si>
    <t>4.3.</t>
  </si>
  <si>
    <t>6.1.</t>
  </si>
  <si>
    <t>2.8.</t>
  </si>
  <si>
    <t>2.9.</t>
  </si>
  <si>
    <t>ST spiediena pārbaude</t>
  </si>
  <si>
    <t>3.4.</t>
  </si>
  <si>
    <t>Uzņēmējs:</t>
  </si>
  <si>
    <t xml:space="preserve">Aizpilda Pretendents </t>
  </si>
  <si>
    <t>Tehniskā specifikācija</t>
  </si>
  <si>
    <r>
      <t xml:space="preserve">Pasūtītājs: </t>
    </r>
    <r>
      <rPr>
        <b/>
        <sz val="12"/>
        <rFont val="Times New Roman"/>
        <family val="1"/>
        <charset val="186"/>
      </rPr>
      <t>AS "Olaines ūdens un siltums", vienotais reģ. Nr.  50003182001</t>
    </r>
  </si>
  <si>
    <r>
      <t xml:space="preserve">Objekts : </t>
    </r>
    <r>
      <rPr>
        <b/>
        <sz val="12"/>
        <rFont val="Times New Roman"/>
        <family val="1"/>
        <charset val="186"/>
      </rPr>
      <t>Avārijas stāvoklī  esošās maģistrālās siltumtrases posma pie ēkas  Zemgales ielā 17, Olainē nomaiņa</t>
    </r>
  </si>
  <si>
    <t> (paraksts un tā atšifrējums, datums)</t>
  </si>
  <si>
    <t>1. daļa: Siltumtrases demontāžas darbi</t>
  </si>
  <si>
    <t>2. daļa:Siltumtrases montāžs darbi</t>
  </si>
  <si>
    <t>Pieslēgšana kamerā K-2-16 un K-2-17</t>
  </si>
  <si>
    <t>Esošo dzelzsbetona kanālu un nosegplākšņu  demontāža un izvešana (attālumā līdz 10km)</t>
  </si>
  <si>
    <t>Nekustīgais balsts kamera K-2-16</t>
  </si>
  <si>
    <t>Silfona kompensatoru montāža kamerā</t>
  </si>
  <si>
    <t>Tranšejas pamatnes veidošana ar smilti daļiņām līdz 8 mm un blietēšana</t>
  </si>
  <si>
    <t>Esošā ielas asfalta seguma uzlaušana, būvgružu iekraušana auto un izvešana</t>
  </si>
  <si>
    <t>Zāliena sēšana</t>
  </si>
  <si>
    <t>Elektrostacija</t>
  </si>
  <si>
    <t xml:space="preserve">               (paraksts un tā atšifrējums, datums)</t>
  </si>
  <si>
    <t> Sastādīja:  ________________________________</t>
  </si>
  <si>
    <t> Pārbaudīja:</t>
  </si>
  <si>
    <t>obj.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</si>
</sst>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_р_._-;\-* #,##0.0_р_._-;_-* &quot;-&quot;??_р_._-;_-@_-"/>
    <numFmt numFmtId="167" formatCode="#,##0.0"/>
  </numFmts>
  <fonts count="31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i/>
      <u val="singleAccounting"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  <charset val="204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2"/>
      <name val="Courier"/>
      <family val="1"/>
      <charset val="186"/>
    </font>
    <font>
      <sz val="10"/>
      <name val="Arial"/>
      <charset val="204"/>
    </font>
    <font>
      <b/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color indexed="10"/>
      <name val="Times New Roman"/>
      <family val="1"/>
    </font>
    <font>
      <sz val="12"/>
      <color indexed="8"/>
      <name val="Arial"/>
      <family val="2"/>
      <charset val="204"/>
    </font>
    <font>
      <sz val="12"/>
      <color indexed="8"/>
      <name val="Arial"/>
      <family val="2"/>
      <charset val="186"/>
    </font>
    <font>
      <b/>
      <sz val="12"/>
      <color indexed="8"/>
      <name val="Arial"/>
      <family val="2"/>
      <charset val="204"/>
    </font>
    <font>
      <sz val="12"/>
      <name val="Arial"/>
      <family val="2"/>
      <charset val="186"/>
    </font>
    <font>
      <sz val="10"/>
      <name val="Times New Roman"/>
      <family val="1"/>
    </font>
    <font>
      <u val="singleAccounting"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">
    <xf numFmtId="0" fontId="0" fillId="0" borderId="0" applyFill="0" applyBorder="0" applyAlignment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9" fillId="0" borderId="0"/>
  </cellStyleXfs>
  <cellXfs count="4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5" fontId="5" fillId="0" borderId="0" xfId="1" applyFont="1" applyBorder="1" applyAlignment="1">
      <alignment horizontal="center"/>
    </xf>
    <xf numFmtId="165" fontId="5" fillId="0" borderId="1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2" fillId="0" borderId="0" xfId="1" applyFont="1" applyBorder="1" applyAlignment="1">
      <alignment horizontal="right"/>
    </xf>
    <xf numFmtId="165" fontId="2" fillId="0" borderId="0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0" borderId="1" xfId="1" applyFont="1" applyBorder="1"/>
    <xf numFmtId="165" fontId="2" fillId="0" borderId="3" xfId="1" applyFont="1" applyBorder="1" applyAlignment="1">
      <alignment horizontal="center"/>
    </xf>
    <xf numFmtId="165" fontId="2" fillId="0" borderId="0" xfId="1" applyFont="1" applyBorder="1"/>
    <xf numFmtId="165" fontId="5" fillId="0" borderId="0" xfId="1" applyFont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65" fontId="5" fillId="0" borderId="0" xfId="1" applyFont="1" applyBorder="1"/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3" fillId="0" borderId="3" xfId="0" applyFont="1" applyBorder="1"/>
    <xf numFmtId="165" fontId="3" fillId="0" borderId="9" xfId="1" applyFont="1" applyBorder="1" applyAlignment="1">
      <alignment horizontal="center"/>
    </xf>
    <xf numFmtId="165" fontId="3" fillId="0" borderId="7" xfId="1" applyFont="1" applyBorder="1" applyAlignment="1">
      <alignment horizontal="center"/>
    </xf>
    <xf numFmtId="165" fontId="3" fillId="0" borderId="10" xfId="1" applyFont="1" applyBorder="1" applyAlignment="1">
      <alignment horizontal="center"/>
    </xf>
    <xf numFmtId="165" fontId="3" fillId="0" borderId="11" xfId="1" applyFont="1" applyBorder="1" applyAlignment="1">
      <alignment horizontal="center"/>
    </xf>
    <xf numFmtId="165" fontId="3" fillId="0" borderId="12" xfId="1" applyFont="1" applyBorder="1" applyAlignment="1">
      <alignment horizontal="center"/>
    </xf>
    <xf numFmtId="165" fontId="3" fillId="0" borderId="13" xfId="1" applyFont="1" applyBorder="1" applyAlignment="1">
      <alignment horizontal="center"/>
    </xf>
    <xf numFmtId="165" fontId="3" fillId="0" borderId="14" xfId="1" applyFont="1" applyBorder="1" applyAlignment="1">
      <alignment horizontal="center"/>
    </xf>
    <xf numFmtId="165" fontId="0" fillId="0" borderId="0" xfId="0" applyNumberFormat="1"/>
    <xf numFmtId="0" fontId="0" fillId="0" borderId="15" xfId="0" applyBorder="1" applyAlignment="1">
      <alignment horizontal="center"/>
    </xf>
    <xf numFmtId="0" fontId="5" fillId="0" borderId="15" xfId="0" applyFont="1" applyBorder="1" applyAlignment="1">
      <alignment horizontal="left"/>
    </xf>
    <xf numFmtId="165" fontId="5" fillId="0" borderId="15" xfId="1" applyFont="1" applyBorder="1" applyAlignment="1">
      <alignment horizontal="center"/>
    </xf>
    <xf numFmtId="165" fontId="2" fillId="0" borderId="16" xfId="1" applyFont="1" applyBorder="1" applyAlignment="1">
      <alignment horizontal="center"/>
    </xf>
    <xf numFmtId="165" fontId="2" fillId="0" borderId="17" xfId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15" xfId="1" applyFont="1" applyBorder="1" applyAlignment="1">
      <alignment horizontal="center"/>
    </xf>
    <xf numFmtId="165" fontId="2" fillId="0" borderId="21" xfId="1" applyFont="1" applyBorder="1" applyAlignment="1">
      <alignment horizontal="center"/>
    </xf>
    <xf numFmtId="165" fontId="2" fillId="0" borderId="22" xfId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2" fillId="0" borderId="24" xfId="1" applyFont="1" applyBorder="1" applyAlignment="1">
      <alignment horizontal="center"/>
    </xf>
    <xf numFmtId="165" fontId="2" fillId="0" borderId="25" xfId="1" applyFont="1" applyBorder="1" applyAlignment="1">
      <alignment horizontal="center"/>
    </xf>
    <xf numFmtId="165" fontId="2" fillId="0" borderId="26" xfId="1" applyFont="1" applyBorder="1" applyAlignment="1">
      <alignment horizontal="center"/>
    </xf>
    <xf numFmtId="165" fontId="2" fillId="0" borderId="1" xfId="1" applyFont="1" applyBorder="1" applyAlignment="1">
      <alignment horizontal="center"/>
    </xf>
    <xf numFmtId="165" fontId="2" fillId="0" borderId="2" xfId="1" applyFont="1" applyBorder="1" applyAlignment="1">
      <alignment horizontal="center"/>
    </xf>
    <xf numFmtId="165" fontId="2" fillId="0" borderId="27" xfId="1" applyFont="1" applyBorder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166" fontId="3" fillId="0" borderId="6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166" fontId="5" fillId="0" borderId="15" xfId="1" applyNumberFormat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5" fontId="5" fillId="0" borderId="0" xfId="1" applyFont="1" applyAlignment="1">
      <alignment horizontal="center"/>
    </xf>
    <xf numFmtId="166" fontId="5" fillId="0" borderId="0" xfId="1" applyNumberFormat="1" applyFont="1" applyAlignment="1">
      <alignment horizontal="center"/>
    </xf>
    <xf numFmtId="166" fontId="5" fillId="0" borderId="4" xfId="1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166" fontId="9" fillId="0" borderId="0" xfId="1" applyNumberFormat="1" applyFont="1" applyBorder="1" applyAlignment="1">
      <alignment horizontal="center"/>
    </xf>
    <xf numFmtId="165" fontId="9" fillId="0" borderId="0" xfId="1" applyFont="1" applyBorder="1" applyAlignment="1">
      <alignment horizontal="center"/>
    </xf>
    <xf numFmtId="165" fontId="9" fillId="0" borderId="0" xfId="1" applyFont="1" applyBorder="1"/>
    <xf numFmtId="166" fontId="3" fillId="0" borderId="1" xfId="1" applyNumberFormat="1" applyFont="1" applyBorder="1" applyAlignment="1">
      <alignment horizontal="center"/>
    </xf>
    <xf numFmtId="165" fontId="3" fillId="0" borderId="1" xfId="1" applyFont="1" applyBorder="1" applyAlignment="1">
      <alignment horizontal="center"/>
    </xf>
    <xf numFmtId="0" fontId="6" fillId="0" borderId="26" xfId="0" applyFont="1" applyBorder="1"/>
    <xf numFmtId="0" fontId="6" fillId="0" borderId="28" xfId="0" applyFont="1" applyBorder="1" applyAlignment="1">
      <alignment horizontal="center"/>
    </xf>
    <xf numFmtId="0" fontId="6" fillId="0" borderId="27" xfId="0" applyFont="1" applyBorder="1"/>
    <xf numFmtId="0" fontId="6" fillId="0" borderId="4" xfId="0" applyFont="1" applyBorder="1" applyAlignment="1">
      <alignment horizontal="center"/>
    </xf>
    <xf numFmtId="0" fontId="6" fillId="0" borderId="17" xfId="0" applyFont="1" applyBorder="1"/>
    <xf numFmtId="0" fontId="6" fillId="0" borderId="29" xfId="0" applyFont="1" applyBorder="1" applyAlignment="1">
      <alignment horizontal="center"/>
    </xf>
    <xf numFmtId="0" fontId="6" fillId="0" borderId="22" xfId="0" applyFont="1" applyBorder="1"/>
    <xf numFmtId="0" fontId="6" fillId="0" borderId="30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2" fontId="5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indent="2"/>
    </xf>
    <xf numFmtId="0" fontId="5" fillId="0" borderId="3" xfId="0" applyFont="1" applyFill="1" applyBorder="1" applyAlignment="1">
      <alignment horizontal="left" wrapText="1" indent="2"/>
    </xf>
    <xf numFmtId="0" fontId="3" fillId="0" borderId="0" xfId="0" applyFont="1" applyFill="1"/>
    <xf numFmtId="0" fontId="3" fillId="0" borderId="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 wrapText="1"/>
    </xf>
    <xf numFmtId="2" fontId="5" fillId="0" borderId="31" xfId="0" applyNumberFormat="1" applyFont="1" applyFill="1" applyBorder="1" applyAlignment="1"/>
    <xf numFmtId="2" fontId="3" fillId="0" borderId="31" xfId="0" applyNumberFormat="1" applyFont="1" applyFill="1" applyBorder="1" applyAlignment="1"/>
    <xf numFmtId="2" fontId="3" fillId="0" borderId="32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indent="4"/>
    </xf>
    <xf numFmtId="0" fontId="5" fillId="0" borderId="0" xfId="0" applyFont="1" applyFill="1" applyBorder="1" applyAlignment="1">
      <alignment horizontal="left" indent="4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left" indent="4"/>
    </xf>
    <xf numFmtId="0" fontId="2" fillId="0" borderId="3" xfId="0" applyFont="1" applyFill="1" applyBorder="1" applyAlignment="1">
      <alignment horizontal="left"/>
    </xf>
    <xf numFmtId="0" fontId="2" fillId="0" borderId="31" xfId="0" applyFont="1" applyFill="1" applyBorder="1"/>
    <xf numFmtId="0" fontId="2" fillId="0" borderId="3" xfId="0" applyFont="1" applyFill="1" applyBorder="1" applyAlignment="1">
      <alignment horizontal="left" wrapText="1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2" fontId="6" fillId="0" borderId="31" xfId="0" applyNumberFormat="1" applyFont="1" applyFill="1" applyBorder="1" applyAlignment="1"/>
    <xf numFmtId="0" fontId="6" fillId="0" borderId="0" xfId="0" applyFont="1" applyFill="1" applyBorder="1"/>
    <xf numFmtId="0" fontId="6" fillId="0" borderId="0" xfId="0" applyFont="1" applyFill="1"/>
    <xf numFmtId="0" fontId="6" fillId="0" borderId="3" xfId="0" applyFont="1" applyFill="1" applyBorder="1" applyAlignment="1">
      <alignment horizontal="left" indent="3"/>
    </xf>
    <xf numFmtId="0" fontId="2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5" fillId="0" borderId="3" xfId="0" applyFont="1" applyFill="1" applyBorder="1" applyAlignment="1">
      <alignment horizontal="left" wrapText="1" indent="4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33" xfId="0" applyFont="1" applyFill="1" applyBorder="1"/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vertical="top" wrapText="1" indent="1"/>
    </xf>
    <xf numFmtId="0" fontId="5" fillId="0" borderId="3" xfId="0" applyFont="1" applyFill="1" applyBorder="1" applyAlignment="1">
      <alignment horizontal="left" wrapText="1" indent="1"/>
    </xf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 indent="3"/>
    </xf>
    <xf numFmtId="0" fontId="5" fillId="0" borderId="3" xfId="0" applyFont="1" applyFill="1" applyBorder="1" applyAlignment="1">
      <alignment horizontal="left" indent="6"/>
    </xf>
    <xf numFmtId="0" fontId="5" fillId="0" borderId="3" xfId="0" applyFont="1" applyFill="1" applyBorder="1" applyAlignment="1">
      <alignment horizontal="left" vertical="center" wrapText="1" indent="4"/>
    </xf>
    <xf numFmtId="0" fontId="2" fillId="0" borderId="16" xfId="0" applyFont="1" applyFill="1" applyBorder="1"/>
    <xf numFmtId="0" fontId="5" fillId="0" borderId="16" xfId="0" applyFont="1" applyFill="1" applyBorder="1"/>
    <xf numFmtId="0" fontId="6" fillId="0" borderId="16" xfId="0" applyFont="1" applyFill="1" applyBorder="1"/>
    <xf numFmtId="0" fontId="3" fillId="0" borderId="16" xfId="0" applyFont="1" applyFill="1" applyBorder="1"/>
    <xf numFmtId="0" fontId="5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5" fillId="0" borderId="21" xfId="0" applyFont="1" applyFill="1" applyBorder="1"/>
    <xf numFmtId="0" fontId="3" fillId="0" borderId="2" xfId="0" applyFont="1" applyFill="1" applyBorder="1"/>
    <xf numFmtId="0" fontId="5" fillId="0" borderId="2" xfId="0" applyFont="1" applyFill="1" applyBorder="1"/>
    <xf numFmtId="0" fontId="5" fillId="0" borderId="16" xfId="0" applyFont="1" applyFill="1" applyBorder="1" applyAlignment="1">
      <alignment horizontal="left" indent="4"/>
    </xf>
    <xf numFmtId="0" fontId="6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/>
    </xf>
    <xf numFmtId="166" fontId="5" fillId="0" borderId="3" xfId="1" applyNumberFormat="1" applyFont="1" applyFill="1" applyBorder="1" applyAlignment="1">
      <alignment horizontal="center"/>
    </xf>
    <xf numFmtId="0" fontId="5" fillId="0" borderId="3" xfId="0" applyFont="1" applyFill="1" applyBorder="1" applyAlignment="1"/>
    <xf numFmtId="0" fontId="8" fillId="0" borderId="3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 wrapText="1"/>
    </xf>
    <xf numFmtId="0" fontId="6" fillId="0" borderId="31" xfId="0" applyFont="1" applyFill="1" applyBorder="1"/>
    <xf numFmtId="0" fontId="3" fillId="0" borderId="31" xfId="0" applyFont="1" applyFill="1" applyBorder="1"/>
    <xf numFmtId="0" fontId="5" fillId="0" borderId="31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2" fillId="0" borderId="19" xfId="0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Fill="1" applyBorder="1"/>
    <xf numFmtId="0" fontId="2" fillId="0" borderId="15" xfId="0" applyFont="1" applyFill="1" applyBorder="1"/>
    <xf numFmtId="0" fontId="2" fillId="0" borderId="20" xfId="0" applyFont="1" applyFill="1" applyBorder="1"/>
    <xf numFmtId="2" fontId="5" fillId="0" borderId="0" xfId="0" applyNumberFormat="1" applyFont="1" applyFill="1" applyBorder="1" applyAlignment="1"/>
    <xf numFmtId="2" fontId="6" fillId="0" borderId="0" xfId="0" applyNumberFormat="1" applyFont="1" applyFill="1" applyBorder="1"/>
    <xf numFmtId="0" fontId="0" fillId="0" borderId="34" xfId="0" applyFill="1" applyBorder="1"/>
    <xf numFmtId="0" fontId="0" fillId="0" borderId="1" xfId="0" applyFill="1" applyBorder="1"/>
    <xf numFmtId="0" fontId="5" fillId="0" borderId="35" xfId="0" applyFont="1" applyFill="1" applyBorder="1" applyAlignment="1">
      <alignment horizontal="center"/>
    </xf>
    <xf numFmtId="0" fontId="2" fillId="0" borderId="24" xfId="0" applyFont="1" applyFill="1" applyBorder="1"/>
    <xf numFmtId="0" fontId="0" fillId="0" borderId="36" xfId="0" applyFill="1" applyBorder="1"/>
    <xf numFmtId="0" fontId="0" fillId="0" borderId="15" xfId="0" applyFill="1" applyBorder="1"/>
    <xf numFmtId="0" fontId="2" fillId="0" borderId="35" xfId="0" applyFont="1" applyFill="1" applyBorder="1"/>
    <xf numFmtId="0" fontId="1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24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2" fontId="5" fillId="0" borderId="3" xfId="1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/>
    </xf>
    <xf numFmtId="2" fontId="5" fillId="0" borderId="1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38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0" fillId="0" borderId="34" xfId="2" applyNumberFormat="1" applyFont="1" applyBorder="1" applyAlignment="1">
      <alignment horizontal="center"/>
    </xf>
    <xf numFmtId="165" fontId="0" fillId="0" borderId="2" xfId="2" applyNumberFormat="1" applyFont="1" applyBorder="1"/>
    <xf numFmtId="165" fontId="0" fillId="0" borderId="3" xfId="2" applyNumberFormat="1" applyFont="1" applyBorder="1" applyAlignment="1">
      <alignment horizontal="center"/>
    </xf>
    <xf numFmtId="165" fontId="0" fillId="2" borderId="27" xfId="2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0" fontId="15" fillId="0" borderId="32" xfId="0" applyFont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165" fontId="0" fillId="2" borderId="0" xfId="2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5" fillId="0" borderId="27" xfId="0" applyFont="1" applyBorder="1"/>
    <xf numFmtId="0" fontId="15" fillId="0" borderId="27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/>
    <xf numFmtId="0" fontId="0" fillId="4" borderId="12" xfId="0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166" fontId="0" fillId="0" borderId="41" xfId="2" applyNumberFormat="1" applyFont="1" applyBorder="1" applyAlignment="1">
      <alignment horizontal="center"/>
    </xf>
    <xf numFmtId="166" fontId="0" fillId="0" borderId="41" xfId="0" applyNumberFormat="1" applyBorder="1" applyAlignment="1">
      <alignment horizontal="center"/>
    </xf>
    <xf numFmtId="165" fontId="0" fillId="0" borderId="38" xfId="2" applyNumberFormat="1" applyFont="1" applyBorder="1" applyAlignment="1">
      <alignment horizontal="center"/>
    </xf>
    <xf numFmtId="165" fontId="0" fillId="0" borderId="42" xfId="2" applyNumberFormat="1" applyFon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6" fontId="0" fillId="0" borderId="43" xfId="2" applyNumberFormat="1" applyFont="1" applyBorder="1" applyAlignment="1">
      <alignment horizontal="center"/>
    </xf>
    <xf numFmtId="165" fontId="0" fillId="0" borderId="44" xfId="2" applyNumberFormat="1" applyFont="1" applyBorder="1" applyAlignment="1">
      <alignment horizontal="center"/>
    </xf>
    <xf numFmtId="165" fontId="0" fillId="0" borderId="45" xfId="2" applyNumberFormat="1" applyFont="1" applyBorder="1" applyAlignment="1">
      <alignment horizontal="center"/>
    </xf>
    <xf numFmtId="165" fontId="0" fillId="0" borderId="46" xfId="2" applyNumberFormat="1" applyFont="1" applyBorder="1" applyAlignment="1">
      <alignment horizontal="center"/>
    </xf>
    <xf numFmtId="165" fontId="0" fillId="0" borderId="47" xfId="2" applyNumberFormat="1" applyFont="1" applyBorder="1"/>
    <xf numFmtId="0" fontId="0" fillId="0" borderId="20" xfId="0" applyBorder="1" applyAlignment="1">
      <alignment horizontal="center"/>
    </xf>
    <xf numFmtId="0" fontId="0" fillId="0" borderId="22" xfId="0" applyBorder="1"/>
    <xf numFmtId="0" fontId="0" fillId="0" borderId="33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3" borderId="48" xfId="0" applyNumberFormat="1" applyFill="1" applyBorder="1" applyAlignment="1">
      <alignment horizontal="center"/>
    </xf>
    <xf numFmtId="165" fontId="12" fillId="0" borderId="26" xfId="0" applyNumberFormat="1" applyFont="1" applyBorder="1" applyAlignment="1">
      <alignment horizontal="center"/>
    </xf>
    <xf numFmtId="165" fontId="17" fillId="0" borderId="28" xfId="2" applyNumberFormat="1" applyFont="1" applyBorder="1" applyAlignment="1">
      <alignment horizontal="center"/>
    </xf>
    <xf numFmtId="165" fontId="17" fillId="0" borderId="24" xfId="2" applyNumberFormat="1" applyFont="1" applyBorder="1" applyAlignment="1">
      <alignment horizontal="center"/>
    </xf>
    <xf numFmtId="165" fontId="17" fillId="0" borderId="25" xfId="2" applyNumberFormat="1" applyFont="1" applyBorder="1" applyAlignment="1">
      <alignment horizontal="center"/>
    </xf>
    <xf numFmtId="165" fontId="17" fillId="2" borderId="26" xfId="2" applyNumberFormat="1" applyFont="1" applyFill="1" applyBorder="1" applyAlignment="1">
      <alignment horizontal="center"/>
    </xf>
    <xf numFmtId="165" fontId="17" fillId="3" borderId="26" xfId="0" applyNumberFormat="1" applyFont="1" applyFill="1" applyBorder="1" applyAlignment="1">
      <alignment horizontal="center"/>
    </xf>
    <xf numFmtId="43" fontId="0" fillId="0" borderId="0" xfId="0" applyNumberFormat="1"/>
    <xf numFmtId="0" fontId="15" fillId="0" borderId="32" xfId="0" applyFont="1" applyBorder="1" applyAlignment="1">
      <alignment horizontal="left" vertical="top"/>
    </xf>
    <xf numFmtId="166" fontId="0" fillId="0" borderId="17" xfId="2" applyNumberFormat="1" applyFont="1" applyBorder="1" applyAlignment="1">
      <alignment horizontal="center"/>
    </xf>
    <xf numFmtId="165" fontId="0" fillId="0" borderId="49" xfId="2" applyNumberFormat="1" applyFont="1" applyBorder="1" applyAlignment="1">
      <alignment horizontal="center"/>
    </xf>
    <xf numFmtId="165" fontId="0" fillId="0" borderId="49" xfId="2" applyNumberFormat="1" applyFont="1" applyBorder="1"/>
    <xf numFmtId="0" fontId="15" fillId="0" borderId="17" xfId="0" applyFont="1" applyBorder="1" applyAlignment="1">
      <alignment horizontal="left"/>
    </xf>
    <xf numFmtId="166" fontId="0" fillId="0" borderId="41" xfId="2" applyNumberFormat="1" applyFont="1" applyBorder="1" applyAlignment="1">
      <alignment horizontal="center" vertical="center"/>
    </xf>
    <xf numFmtId="165" fontId="0" fillId="0" borderId="42" xfId="2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65" fontId="0" fillId="0" borderId="38" xfId="2" applyNumberFormat="1" applyFont="1" applyBorder="1" applyAlignment="1">
      <alignment horizontal="center" vertical="center"/>
    </xf>
    <xf numFmtId="165" fontId="0" fillId="0" borderId="2" xfId="2" applyNumberFormat="1" applyFont="1" applyBorder="1" applyAlignment="1">
      <alignment vertical="center"/>
    </xf>
    <xf numFmtId="165" fontId="0" fillId="2" borderId="27" xfId="2" applyNumberFormat="1" applyFont="1" applyFill="1" applyBorder="1" applyAlignment="1">
      <alignment horizontal="center" vertical="center"/>
    </xf>
    <xf numFmtId="165" fontId="0" fillId="0" borderId="34" xfId="2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top" wrapText="1"/>
    </xf>
    <xf numFmtId="0" fontId="15" fillId="0" borderId="17" xfId="0" applyFont="1" applyBorder="1"/>
    <xf numFmtId="165" fontId="0" fillId="0" borderId="3" xfId="2" applyNumberFormat="1" applyFont="1" applyBorder="1" applyAlignment="1">
      <alignment horizontal="center" vertical="center"/>
    </xf>
    <xf numFmtId="0" fontId="15" fillId="0" borderId="32" xfId="0" applyFont="1" applyBorder="1" applyAlignment="1">
      <alignment wrapText="1"/>
    </xf>
    <xf numFmtId="165" fontId="0" fillId="0" borderId="2" xfId="2" applyNumberFormat="1" applyFont="1" applyBorder="1" applyAlignment="1"/>
    <xf numFmtId="16" fontId="14" fillId="0" borderId="27" xfId="0" applyNumberFormat="1" applyFont="1" applyBorder="1" applyAlignment="1">
      <alignment horizontal="center" vertical="center"/>
    </xf>
    <xf numFmtId="0" fontId="14" fillId="0" borderId="3" xfId="4" applyFont="1" applyBorder="1" applyAlignment="1" applyProtection="1">
      <alignment horizontal="left" vertical="center" wrapText="1"/>
    </xf>
    <xf numFmtId="0" fontId="14" fillId="0" borderId="3" xfId="3" applyNumberFormat="1" applyFont="1" applyFill="1" applyBorder="1" applyAlignment="1">
      <alignment horizontal="left" vertical="top" wrapText="1"/>
    </xf>
    <xf numFmtId="0" fontId="0" fillId="5" borderId="50" xfId="0" applyFill="1" applyBorder="1" applyAlignment="1">
      <alignment horizontal="center"/>
    </xf>
    <xf numFmtId="0" fontId="12" fillId="5" borderId="17" xfId="0" applyFont="1" applyFill="1" applyBorder="1" applyAlignment="1">
      <alignment horizontal="left"/>
    </xf>
    <xf numFmtId="165" fontId="20" fillId="5" borderId="18" xfId="2" applyNumberFormat="1" applyFont="1" applyFill="1" applyBorder="1" applyAlignment="1">
      <alignment horizontal="center"/>
    </xf>
    <xf numFmtId="165" fontId="20" fillId="5" borderId="51" xfId="2" applyNumberFormat="1" applyFont="1" applyFill="1" applyBorder="1" applyAlignment="1">
      <alignment horizontal="center"/>
    </xf>
    <xf numFmtId="165" fontId="20" fillId="5" borderId="52" xfId="2" applyNumberFormat="1" applyFont="1" applyFill="1" applyBorder="1" applyAlignment="1">
      <alignment horizontal="center"/>
    </xf>
    <xf numFmtId="165" fontId="20" fillId="5" borderId="53" xfId="2" applyNumberFormat="1" applyFont="1" applyFill="1" applyBorder="1" applyAlignment="1">
      <alignment horizontal="center"/>
    </xf>
    <xf numFmtId="165" fontId="20" fillId="5" borderId="54" xfId="2" applyNumberFormat="1" applyFont="1" applyFill="1" applyBorder="1" applyAlignment="1">
      <alignment horizontal="center"/>
    </xf>
    <xf numFmtId="165" fontId="20" fillId="5" borderId="50" xfId="2" applyNumberFormat="1" applyFont="1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12" fillId="5" borderId="32" xfId="0" applyFont="1" applyFill="1" applyBorder="1" applyAlignment="1">
      <alignment horizontal="left"/>
    </xf>
    <xf numFmtId="165" fontId="20" fillId="5" borderId="41" xfId="2" applyNumberFormat="1" applyFont="1" applyFill="1" applyBorder="1" applyAlignment="1">
      <alignment horizontal="center"/>
    </xf>
    <xf numFmtId="165" fontId="20" fillId="5" borderId="34" xfId="2" applyNumberFormat="1" applyFont="1" applyFill="1" applyBorder="1" applyAlignment="1">
      <alignment horizontal="center"/>
    </xf>
    <xf numFmtId="165" fontId="20" fillId="5" borderId="1" xfId="2" applyNumberFormat="1" applyFont="1" applyFill="1" applyBorder="1" applyAlignment="1">
      <alignment horizontal="center"/>
    </xf>
    <xf numFmtId="165" fontId="20" fillId="5" borderId="38" xfId="2" applyNumberFormat="1" applyFont="1" applyFill="1" applyBorder="1" applyAlignment="1">
      <alignment horizontal="center"/>
    </xf>
    <xf numFmtId="165" fontId="20" fillId="5" borderId="2" xfId="2" applyNumberFormat="1" applyFont="1" applyFill="1" applyBorder="1"/>
    <xf numFmtId="165" fontId="20" fillId="5" borderId="27" xfId="2" applyNumberFormat="1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166" fontId="20" fillId="5" borderId="41" xfId="2" applyNumberFormat="1" applyFont="1" applyFill="1" applyBorder="1" applyAlignment="1">
      <alignment horizontal="center"/>
    </xf>
    <xf numFmtId="165" fontId="20" fillId="5" borderId="42" xfId="2" applyNumberFormat="1" applyFont="1" applyFill="1" applyBorder="1" applyAlignment="1">
      <alignment horizontal="center"/>
    </xf>
    <xf numFmtId="165" fontId="20" fillId="5" borderId="3" xfId="2" applyNumberFormat="1" applyFont="1" applyFill="1" applyBorder="1" applyAlignment="1">
      <alignment horizontal="center"/>
    </xf>
    <xf numFmtId="0" fontId="0" fillId="5" borderId="27" xfId="0" applyFill="1" applyBorder="1" applyAlignment="1">
      <alignment horizontal="center" vertical="center"/>
    </xf>
    <xf numFmtId="0" fontId="12" fillId="5" borderId="32" xfId="0" applyFont="1" applyFill="1" applyBorder="1" applyAlignment="1">
      <alignment wrapText="1"/>
    </xf>
    <xf numFmtId="165" fontId="20" fillId="5" borderId="1" xfId="2" applyNumberFormat="1" applyFont="1" applyFill="1" applyBorder="1" applyAlignment="1">
      <alignment horizontal="center" vertical="center"/>
    </xf>
    <xf numFmtId="165" fontId="20" fillId="5" borderId="2" xfId="2" applyNumberFormat="1" applyFont="1" applyFill="1" applyBorder="1" applyAlignment="1"/>
    <xf numFmtId="0" fontId="0" fillId="5" borderId="17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17" fillId="5" borderId="27" xfId="0" applyFont="1" applyFill="1" applyBorder="1"/>
    <xf numFmtId="0" fontId="0" fillId="5" borderId="32" xfId="0" applyFill="1" applyBorder="1" applyAlignment="1">
      <alignment horizontal="center"/>
    </xf>
    <xf numFmtId="166" fontId="0" fillId="5" borderId="41" xfId="0" applyNumberFormat="1" applyFill="1" applyBorder="1" applyAlignment="1">
      <alignment horizontal="center"/>
    </xf>
    <xf numFmtId="165" fontId="0" fillId="5" borderId="34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38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165" fontId="0" fillId="5" borderId="27" xfId="0" applyNumberFormat="1" applyFill="1" applyBorder="1" applyAlignment="1">
      <alignment horizontal="center"/>
    </xf>
    <xf numFmtId="167" fontId="0" fillId="0" borderId="41" xfId="2" applyNumberFormat="1" applyFont="1" applyBorder="1" applyAlignment="1">
      <alignment horizontal="center"/>
    </xf>
    <xf numFmtId="165" fontId="20" fillId="6" borderId="3" xfId="2" applyNumberFormat="1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16" fontId="0" fillId="0" borderId="27" xfId="0" applyNumberFormat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0" fontId="0" fillId="0" borderId="0" xfId="0" applyAlignment="1">
      <alignment textRotation="90"/>
    </xf>
    <xf numFmtId="16" fontId="0" fillId="0" borderId="27" xfId="0" applyNumberFormat="1" applyBorder="1" applyAlignment="1">
      <alignment horizontal="center"/>
    </xf>
    <xf numFmtId="165" fontId="20" fillId="6" borderId="1" xfId="2" applyNumberFormat="1" applyFont="1" applyFill="1" applyBorder="1" applyAlignment="1">
      <alignment horizontal="center"/>
    </xf>
    <xf numFmtId="0" fontId="0" fillId="0" borderId="27" xfId="0" applyBorder="1" applyAlignment="1">
      <alignment horizontal="center" vertical="top"/>
    </xf>
    <xf numFmtId="0" fontId="21" fillId="0" borderId="0" xfId="0" applyFont="1"/>
    <xf numFmtId="0" fontId="22" fillId="0" borderId="0" xfId="0" quotePrefix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4" fillId="0" borderId="0" xfId="0" applyFont="1" applyBorder="1" applyAlignment="1">
      <alignment horizontal="left"/>
    </xf>
    <xf numFmtId="0" fontId="22" fillId="0" borderId="0" xfId="0" applyFont="1" applyAlignment="1"/>
    <xf numFmtId="0" fontId="25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wrapText="1"/>
    </xf>
    <xf numFmtId="0" fontId="21" fillId="0" borderId="0" xfId="0" applyFont="1" applyAlignment="1">
      <alignment horizontal="right"/>
    </xf>
    <xf numFmtId="2" fontId="21" fillId="0" borderId="0" xfId="0" applyNumberFormat="1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29" fillId="0" borderId="0" xfId="0" applyFont="1" applyAlignment="1">
      <alignment wrapText="1"/>
    </xf>
    <xf numFmtId="0" fontId="29" fillId="0" borderId="32" xfId="0" applyFont="1" applyBorder="1" applyAlignment="1">
      <alignment wrapText="1"/>
    </xf>
    <xf numFmtId="0" fontId="14" fillId="0" borderId="0" xfId="0" applyFont="1"/>
    <xf numFmtId="0" fontId="29" fillId="0" borderId="32" xfId="0" applyFont="1" applyBorder="1" applyAlignment="1"/>
    <xf numFmtId="0" fontId="29" fillId="0" borderId="0" xfId="0" applyFont="1" applyAlignment="1">
      <alignment horizontal="justify"/>
    </xf>
    <xf numFmtId="0" fontId="14" fillId="0" borderId="0" xfId="0" applyFont="1" applyAlignment="1"/>
    <xf numFmtId="0" fontId="29" fillId="0" borderId="0" xfId="0" applyFont="1" applyAlignment="1">
      <alignment horizontal="center" vertical="top"/>
    </xf>
    <xf numFmtId="0" fontId="15" fillId="0" borderId="32" xfId="0" quotePrefix="1" applyNumberFormat="1" applyFont="1" applyBorder="1" applyAlignment="1">
      <alignment horizontal="left" vertical="top" wrapText="1"/>
    </xf>
    <xf numFmtId="0" fontId="15" fillId="0" borderId="32" xfId="0" quotePrefix="1" applyFont="1" applyBorder="1" applyAlignment="1">
      <alignment horizontal="left" vertical="top"/>
    </xf>
    <xf numFmtId="0" fontId="15" fillId="0" borderId="32" xfId="0" quotePrefix="1" applyFont="1" applyBorder="1" applyAlignment="1">
      <alignment horizontal="left"/>
    </xf>
    <xf numFmtId="0" fontId="15" fillId="0" borderId="32" xfId="0" quotePrefix="1" applyFont="1" applyBorder="1" applyAlignment="1">
      <alignment horizontal="left" wrapText="1"/>
    </xf>
    <xf numFmtId="0" fontId="14" fillId="0" borderId="3" xfId="3" quotePrefix="1" applyNumberFormat="1" applyFont="1" applyFill="1" applyBorder="1" applyAlignment="1">
      <alignment horizontal="left" vertical="center" wrapText="1"/>
    </xf>
    <xf numFmtId="0" fontId="15" fillId="0" borderId="0" xfId="0" quotePrefix="1" applyFont="1" applyBorder="1" applyAlignment="1">
      <alignment horizontal="left"/>
    </xf>
    <xf numFmtId="0" fontId="29" fillId="0" borderId="0" xfId="0" quotePrefix="1" applyFont="1" applyAlignment="1">
      <alignment horizontal="left" vertical="top"/>
    </xf>
    <xf numFmtId="0" fontId="29" fillId="0" borderId="0" xfId="0" applyFont="1" applyBorder="1" applyAlignment="1">
      <alignment wrapText="1"/>
    </xf>
    <xf numFmtId="0" fontId="14" fillId="0" borderId="0" xfId="0" applyFont="1" applyBorder="1"/>
    <xf numFmtId="0" fontId="15" fillId="0" borderId="17" xfId="0" quotePrefix="1" applyFont="1" applyBorder="1" applyAlignment="1">
      <alignment horizontal="center"/>
    </xf>
    <xf numFmtId="166" fontId="30" fillId="0" borderId="41" xfId="0" applyNumberFormat="1" applyFont="1" applyBorder="1" applyAlignment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17" fillId="0" borderId="23" xfId="0" applyFont="1" applyBorder="1" applyAlignment="1">
      <alignment horizontal="right" wrapText="1"/>
    </xf>
    <xf numFmtId="0" fontId="17" fillId="0" borderId="63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8" fillId="0" borderId="65" xfId="0" applyFont="1" applyBorder="1" applyAlignment="1">
      <alignment horizontal="right" wrapText="1"/>
    </xf>
    <xf numFmtId="0" fontId="17" fillId="0" borderId="8" xfId="0" applyFont="1" applyBorder="1" applyAlignment="1"/>
    <xf numFmtId="0" fontId="16" fillId="0" borderId="8" xfId="0" applyFont="1" applyBorder="1" applyAlignment="1"/>
    <xf numFmtId="0" fontId="16" fillId="0" borderId="11" xfId="0" applyFont="1" applyBorder="1" applyAlignment="1"/>
    <xf numFmtId="0" fontId="18" fillId="0" borderId="25" xfId="0" applyFont="1" applyBorder="1" applyAlignment="1">
      <alignment horizontal="right" wrapText="1"/>
    </xf>
    <xf numFmtId="0" fontId="16" fillId="0" borderId="63" xfId="0" applyFont="1" applyBorder="1" applyAlignment="1"/>
    <xf numFmtId="0" fontId="16" fillId="0" borderId="64" xfId="0" applyFont="1" applyBorder="1" applyAlignment="1"/>
    <xf numFmtId="0" fontId="18" fillId="0" borderId="23" xfId="0" applyFont="1" applyBorder="1" applyAlignment="1">
      <alignment horizontal="right" wrapText="1"/>
    </xf>
    <xf numFmtId="0" fontId="16" fillId="0" borderId="63" xfId="0" applyFont="1" applyBorder="1" applyAlignment="1">
      <alignment wrapText="1"/>
    </xf>
    <xf numFmtId="0" fontId="16" fillId="0" borderId="64" xfId="0" applyFont="1" applyBorder="1" applyAlignment="1">
      <alignment wrapText="1"/>
    </xf>
    <xf numFmtId="0" fontId="17" fillId="4" borderId="57" xfId="0" applyFont="1" applyFill="1" applyBorder="1" applyAlignment="1">
      <alignment horizontal="center" wrapText="1"/>
    </xf>
    <xf numFmtId="0" fontId="17" fillId="4" borderId="62" xfId="0" applyFont="1" applyFill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Normal_Jelgavas_slimnica_09.09.2009._Ar_formulam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09"/>
  <sheetViews>
    <sheetView topLeftCell="A7" zoomScaleSheetLayoutView="100" workbookViewId="0">
      <pane ySplit="1540" topLeftCell="A287" activePane="bottomLeft"/>
      <selection activeCell="A7" sqref="A1:IV65536"/>
      <selection pane="bottomLeft" activeCell="D193" sqref="D193"/>
    </sheetView>
  </sheetViews>
  <sheetFormatPr baseColWidth="10" defaultColWidth="8.83203125" defaultRowHeight="12" x14ac:dyDescent="0"/>
  <cols>
    <col min="1" max="1" width="4" customWidth="1"/>
    <col min="2" max="2" width="35.5" style="14" customWidth="1"/>
    <col min="3" max="3" width="4.83203125" customWidth="1"/>
    <col min="4" max="4" width="8.33203125" style="77" customWidth="1"/>
    <col min="5" max="5" width="8.1640625" style="26" customWidth="1"/>
    <col min="6" max="6" width="9.83203125" style="26" customWidth="1"/>
    <col min="7" max="7" width="9.33203125" style="26" customWidth="1"/>
    <col min="8" max="8" width="11.6640625" style="26" customWidth="1"/>
    <col min="9" max="9" width="12.1640625" style="26" customWidth="1"/>
    <col min="10" max="10" width="11.5" style="26" customWidth="1"/>
    <col min="11" max="11" width="11.83203125" style="76" customWidth="1"/>
    <col min="12" max="12" width="2.6640625" customWidth="1"/>
    <col min="13" max="13" width="10.5" customWidth="1"/>
  </cols>
  <sheetData>
    <row r="4" spans="1:13">
      <c r="A4" s="1"/>
      <c r="B4" s="2" t="s">
        <v>2</v>
      </c>
      <c r="C4" s="3"/>
      <c r="D4" s="65"/>
      <c r="E4" s="17"/>
      <c r="F4" s="17"/>
      <c r="G4" s="17"/>
      <c r="H4" s="17"/>
      <c r="I4" s="17"/>
      <c r="J4" s="17"/>
      <c r="K4" s="17"/>
    </row>
    <row r="5" spans="1:13">
      <c r="A5" s="1"/>
      <c r="B5" s="2"/>
      <c r="C5" s="3"/>
      <c r="D5" s="65"/>
      <c r="E5" s="17"/>
      <c r="F5" s="17"/>
      <c r="G5" s="17"/>
      <c r="H5" s="17"/>
      <c r="I5" s="17"/>
      <c r="J5" s="17"/>
      <c r="K5" s="17"/>
    </row>
    <row r="6" spans="1:13">
      <c r="A6" s="4"/>
      <c r="B6" s="5" t="s">
        <v>3</v>
      </c>
      <c r="C6" s="3"/>
      <c r="D6" s="65"/>
      <c r="E6" s="17"/>
      <c r="F6" s="17"/>
      <c r="G6" s="17"/>
      <c r="H6" s="17"/>
      <c r="I6" s="17"/>
      <c r="J6" s="17"/>
      <c r="K6" s="17"/>
    </row>
    <row r="7" spans="1:13">
      <c r="A7" s="3"/>
      <c r="B7" s="10"/>
      <c r="C7" s="3"/>
      <c r="D7" s="65"/>
      <c r="E7" s="17"/>
      <c r="F7" s="17"/>
      <c r="G7" s="17"/>
      <c r="H7" s="17"/>
      <c r="I7" s="17"/>
      <c r="J7" s="17"/>
      <c r="K7" s="17"/>
    </row>
    <row r="8" spans="1:13">
      <c r="A8" s="3"/>
      <c r="B8" s="79"/>
      <c r="C8" s="3"/>
      <c r="D8" s="65"/>
      <c r="E8" s="21"/>
      <c r="F8" s="21" t="s">
        <v>179</v>
      </c>
      <c r="G8" s="21"/>
      <c r="H8" s="17"/>
      <c r="I8" s="17"/>
      <c r="J8" s="20" t="s">
        <v>4</v>
      </c>
      <c r="K8" s="21">
        <f>K307</f>
        <v>64665.370898999994</v>
      </c>
    </row>
    <row r="9" spans="1:13" ht="13" thickBot="1">
      <c r="A9" s="8"/>
      <c r="B9" s="9"/>
      <c r="C9" s="3"/>
      <c r="D9" s="65"/>
      <c r="E9" s="17"/>
      <c r="F9" s="34"/>
      <c r="G9" s="34"/>
      <c r="H9" s="34"/>
      <c r="I9" s="34"/>
      <c r="J9" s="34"/>
      <c r="K9" s="17"/>
    </row>
    <row r="10" spans="1:13">
      <c r="A10" s="30" t="s">
        <v>0</v>
      </c>
      <c r="B10" s="32" t="s">
        <v>68</v>
      </c>
      <c r="C10" s="30" t="s">
        <v>69</v>
      </c>
      <c r="D10" s="66" t="s">
        <v>71</v>
      </c>
      <c r="E10" s="39"/>
      <c r="F10" s="40" t="s">
        <v>74</v>
      </c>
      <c r="G10" s="41"/>
      <c r="H10" s="39"/>
      <c r="I10" s="40" t="s">
        <v>77</v>
      </c>
      <c r="J10" s="41"/>
      <c r="K10" s="41" t="s">
        <v>73</v>
      </c>
    </row>
    <row r="11" spans="1:13" ht="13" thickBot="1">
      <c r="A11" s="31" t="s">
        <v>67</v>
      </c>
      <c r="B11" s="33"/>
      <c r="C11" s="31" t="s">
        <v>70</v>
      </c>
      <c r="D11" s="67" t="s">
        <v>72</v>
      </c>
      <c r="E11" s="43" t="s">
        <v>75</v>
      </c>
      <c r="F11" s="44" t="s">
        <v>76</v>
      </c>
      <c r="G11" s="45" t="s">
        <v>178</v>
      </c>
      <c r="H11" s="43" t="s">
        <v>75</v>
      </c>
      <c r="I11" s="44" t="s">
        <v>76</v>
      </c>
      <c r="J11" s="45" t="s">
        <v>178</v>
      </c>
      <c r="K11" s="42" t="s">
        <v>1</v>
      </c>
    </row>
    <row r="12" spans="1:13">
      <c r="A12" s="6"/>
      <c r="B12" s="11"/>
      <c r="C12" s="6"/>
      <c r="D12" s="84"/>
      <c r="E12" s="85"/>
      <c r="F12" s="85"/>
      <c r="G12" s="85"/>
      <c r="H12" s="85"/>
      <c r="I12" s="85"/>
      <c r="J12" s="85"/>
      <c r="K12" s="85"/>
    </row>
    <row r="13" spans="1:13">
      <c r="A13" s="6"/>
      <c r="B13" s="12" t="s">
        <v>5</v>
      </c>
      <c r="C13" s="7"/>
      <c r="D13" s="68"/>
      <c r="E13" s="22"/>
      <c r="F13" s="18"/>
      <c r="G13" s="18"/>
      <c r="H13" s="18"/>
      <c r="I13" s="18"/>
      <c r="J13" s="23"/>
      <c r="K13" s="18"/>
    </row>
    <row r="14" spans="1:13">
      <c r="A14" s="6">
        <v>1</v>
      </c>
      <c r="B14" s="11" t="s">
        <v>129</v>
      </c>
      <c r="C14" s="7" t="s">
        <v>6</v>
      </c>
      <c r="D14" s="68">
        <v>16</v>
      </c>
      <c r="E14" s="22">
        <v>2.25</v>
      </c>
      <c r="F14" s="18">
        <v>0.01</v>
      </c>
      <c r="G14" s="18">
        <v>0.3</v>
      </c>
      <c r="H14" s="18">
        <f t="shared" ref="H14:H34" si="0">D14*E14</f>
        <v>36</v>
      </c>
      <c r="I14" s="18">
        <f t="shared" ref="I14:I34" si="1">D14*F14</f>
        <v>0.16</v>
      </c>
      <c r="J14" s="23">
        <f t="shared" ref="J14:J34" si="2">D14*G14</f>
        <v>4.8</v>
      </c>
      <c r="K14" s="18">
        <f t="shared" ref="K14:M34" si="3">H14+I14+J14</f>
        <v>40.959999999999994</v>
      </c>
      <c r="M14" s="18">
        <f t="shared" si="3"/>
        <v>45.759999999999991</v>
      </c>
    </row>
    <row r="15" spans="1:13">
      <c r="A15" s="6">
        <v>2</v>
      </c>
      <c r="B15" s="11" t="s">
        <v>160</v>
      </c>
      <c r="C15" s="7" t="s">
        <v>6</v>
      </c>
      <c r="D15" s="68">
        <v>68</v>
      </c>
      <c r="E15" s="22">
        <v>0.65</v>
      </c>
      <c r="F15" s="18">
        <v>0.01</v>
      </c>
      <c r="G15" s="18">
        <v>0.1</v>
      </c>
      <c r="H15" s="18">
        <f t="shared" si="0"/>
        <v>44.2</v>
      </c>
      <c r="I15" s="18">
        <f t="shared" si="1"/>
        <v>0.68</v>
      </c>
      <c r="J15" s="23">
        <f t="shared" si="2"/>
        <v>6.8000000000000007</v>
      </c>
      <c r="K15" s="18">
        <f t="shared" si="3"/>
        <v>51.680000000000007</v>
      </c>
      <c r="M15" s="18">
        <f t="shared" si="3"/>
        <v>58.480000000000004</v>
      </c>
    </row>
    <row r="16" spans="1:13">
      <c r="A16" s="6">
        <v>3</v>
      </c>
      <c r="B16" s="11" t="s">
        <v>137</v>
      </c>
      <c r="C16" s="7" t="s">
        <v>6</v>
      </c>
      <c r="D16" s="68">
        <v>112</v>
      </c>
      <c r="E16" s="22">
        <v>1.45</v>
      </c>
      <c r="F16" s="18">
        <v>0.01</v>
      </c>
      <c r="G16" s="18">
        <v>0.18</v>
      </c>
      <c r="H16" s="18">
        <f t="shared" si="0"/>
        <v>162.4</v>
      </c>
      <c r="I16" s="18">
        <f t="shared" si="1"/>
        <v>1.1200000000000001</v>
      </c>
      <c r="J16" s="23">
        <f t="shared" si="2"/>
        <v>20.16</v>
      </c>
      <c r="K16" s="18">
        <f t="shared" si="3"/>
        <v>183.68</v>
      </c>
      <c r="M16" s="18">
        <f t="shared" si="3"/>
        <v>203.84</v>
      </c>
    </row>
    <row r="17" spans="1:13">
      <c r="A17" s="6">
        <v>4</v>
      </c>
      <c r="B17" s="11" t="s">
        <v>7</v>
      </c>
      <c r="C17" s="7" t="s">
        <v>6</v>
      </c>
      <c r="D17" s="68">
        <v>15</v>
      </c>
      <c r="E17" s="22">
        <v>2.5</v>
      </c>
      <c r="F17" s="18">
        <v>0.01</v>
      </c>
      <c r="G17" s="18">
        <v>0.2</v>
      </c>
      <c r="H17" s="18">
        <f t="shared" si="0"/>
        <v>37.5</v>
      </c>
      <c r="I17" s="18">
        <f t="shared" si="1"/>
        <v>0.15</v>
      </c>
      <c r="J17" s="23">
        <f t="shared" si="2"/>
        <v>3</v>
      </c>
      <c r="K17" s="18">
        <f t="shared" si="3"/>
        <v>40.65</v>
      </c>
      <c r="M17" s="18">
        <f t="shared" si="3"/>
        <v>43.65</v>
      </c>
    </row>
    <row r="18" spans="1:13">
      <c r="A18" s="6">
        <v>5</v>
      </c>
      <c r="B18" s="11" t="s">
        <v>8</v>
      </c>
      <c r="C18" s="7" t="s">
        <v>6</v>
      </c>
      <c r="D18" s="68">
        <v>16</v>
      </c>
      <c r="E18" s="22">
        <v>1.65</v>
      </c>
      <c r="F18" s="18">
        <v>0.03</v>
      </c>
      <c r="G18" s="18">
        <v>0.4</v>
      </c>
      <c r="H18" s="18">
        <f t="shared" si="0"/>
        <v>26.4</v>
      </c>
      <c r="I18" s="18">
        <f t="shared" si="1"/>
        <v>0.48</v>
      </c>
      <c r="J18" s="23">
        <f t="shared" si="2"/>
        <v>6.4</v>
      </c>
      <c r="K18" s="18">
        <f t="shared" si="3"/>
        <v>33.28</v>
      </c>
      <c r="M18" s="18">
        <f t="shared" si="3"/>
        <v>39.68</v>
      </c>
    </row>
    <row r="19" spans="1:13">
      <c r="A19" s="6">
        <v>6</v>
      </c>
      <c r="B19" s="11" t="s">
        <v>9</v>
      </c>
      <c r="C19" s="7" t="s">
        <v>10</v>
      </c>
      <c r="D19" s="68">
        <v>56</v>
      </c>
      <c r="E19" s="22">
        <v>0.35</v>
      </c>
      <c r="F19" s="18">
        <v>0.01</v>
      </c>
      <c r="G19" s="18">
        <v>0.03</v>
      </c>
      <c r="H19" s="18">
        <f t="shared" si="0"/>
        <v>19.599999999999998</v>
      </c>
      <c r="I19" s="18">
        <f t="shared" si="1"/>
        <v>0.56000000000000005</v>
      </c>
      <c r="J19" s="23">
        <f t="shared" si="2"/>
        <v>1.68</v>
      </c>
      <c r="K19" s="18">
        <f t="shared" si="3"/>
        <v>21.839999999999996</v>
      </c>
      <c r="M19" s="18">
        <f t="shared" si="3"/>
        <v>23.519999999999996</v>
      </c>
    </row>
    <row r="20" spans="1:13">
      <c r="A20" s="6">
        <v>7</v>
      </c>
      <c r="B20" s="11" t="s">
        <v>43</v>
      </c>
      <c r="C20" s="7" t="s">
        <v>11</v>
      </c>
      <c r="D20" s="68">
        <v>1</v>
      </c>
      <c r="E20" s="22">
        <v>8</v>
      </c>
      <c r="F20" s="18">
        <v>0.18</v>
      </c>
      <c r="G20" s="18">
        <v>0.2</v>
      </c>
      <c r="H20" s="18">
        <f t="shared" si="0"/>
        <v>8</v>
      </c>
      <c r="I20" s="18">
        <f t="shared" si="1"/>
        <v>0.18</v>
      </c>
      <c r="J20" s="23">
        <f t="shared" si="2"/>
        <v>0.2</v>
      </c>
      <c r="K20" s="18">
        <f t="shared" si="3"/>
        <v>8.379999999999999</v>
      </c>
      <c r="M20" s="18">
        <f t="shared" si="3"/>
        <v>8.5799999999999983</v>
      </c>
    </row>
    <row r="21" spans="1:13">
      <c r="A21" s="6">
        <v>8</v>
      </c>
      <c r="B21" s="11" t="s">
        <v>44</v>
      </c>
      <c r="C21" s="7" t="s">
        <v>6</v>
      </c>
      <c r="D21" s="68">
        <v>6.6</v>
      </c>
      <c r="E21" s="22">
        <v>2.4</v>
      </c>
      <c r="F21" s="18">
        <v>0.35</v>
      </c>
      <c r="G21" s="18">
        <v>0.35</v>
      </c>
      <c r="H21" s="18">
        <f t="shared" si="0"/>
        <v>15.839999999999998</v>
      </c>
      <c r="I21" s="18">
        <f t="shared" si="1"/>
        <v>2.3099999999999996</v>
      </c>
      <c r="J21" s="23">
        <f t="shared" si="2"/>
        <v>2.3099999999999996</v>
      </c>
      <c r="K21" s="18">
        <f t="shared" si="3"/>
        <v>20.459999999999997</v>
      </c>
      <c r="M21" s="18">
        <f t="shared" si="3"/>
        <v>22.769999999999996</v>
      </c>
    </row>
    <row r="22" spans="1:13">
      <c r="A22" s="6">
        <v>9</v>
      </c>
      <c r="B22" s="11" t="s">
        <v>45</v>
      </c>
      <c r="C22" s="7" t="s">
        <v>6</v>
      </c>
      <c r="D22" s="68">
        <v>15.5</v>
      </c>
      <c r="E22" s="22">
        <v>0.7</v>
      </c>
      <c r="F22" s="18">
        <v>0.1</v>
      </c>
      <c r="G22" s="18">
        <v>0.1</v>
      </c>
      <c r="H22" s="18">
        <f t="shared" si="0"/>
        <v>10.85</v>
      </c>
      <c r="I22" s="18">
        <f t="shared" si="1"/>
        <v>1.55</v>
      </c>
      <c r="J22" s="23">
        <f t="shared" si="2"/>
        <v>1.55</v>
      </c>
      <c r="K22" s="18">
        <f t="shared" si="3"/>
        <v>13.950000000000001</v>
      </c>
      <c r="M22" s="18">
        <f t="shared" si="3"/>
        <v>15.500000000000002</v>
      </c>
    </row>
    <row r="23" spans="1:13">
      <c r="A23" s="6">
        <v>10</v>
      </c>
      <c r="B23" s="11" t="s">
        <v>87</v>
      </c>
      <c r="C23" s="7" t="s">
        <v>6</v>
      </c>
      <c r="D23" s="68">
        <v>36.770000000000003</v>
      </c>
      <c r="E23" s="22">
        <v>0.7</v>
      </c>
      <c r="F23" s="18">
        <v>0.03</v>
      </c>
      <c r="G23" s="18">
        <v>0.1</v>
      </c>
      <c r="H23" s="18">
        <f t="shared" si="0"/>
        <v>25.739000000000001</v>
      </c>
      <c r="I23" s="18">
        <f t="shared" si="1"/>
        <v>1.1031</v>
      </c>
      <c r="J23" s="23">
        <f t="shared" si="2"/>
        <v>3.6770000000000005</v>
      </c>
      <c r="K23" s="18">
        <f t="shared" si="3"/>
        <v>30.519100000000002</v>
      </c>
      <c r="M23" s="18">
        <f t="shared" si="3"/>
        <v>34.196100000000001</v>
      </c>
    </row>
    <row r="24" spans="1:13">
      <c r="A24" s="6">
        <v>11</v>
      </c>
      <c r="B24" s="11" t="s">
        <v>161</v>
      </c>
      <c r="C24" s="7" t="s">
        <v>11</v>
      </c>
      <c r="D24" s="68">
        <v>7</v>
      </c>
      <c r="E24" s="22">
        <v>1.2</v>
      </c>
      <c r="F24" s="18">
        <v>0.03</v>
      </c>
      <c r="G24" s="18">
        <v>0.1</v>
      </c>
      <c r="H24" s="18">
        <f t="shared" si="0"/>
        <v>8.4</v>
      </c>
      <c r="I24" s="18">
        <f t="shared" si="1"/>
        <v>0.21</v>
      </c>
      <c r="J24" s="23">
        <f t="shared" si="2"/>
        <v>0.70000000000000007</v>
      </c>
      <c r="K24" s="18">
        <f t="shared" si="3"/>
        <v>9.31</v>
      </c>
      <c r="M24" s="18">
        <f t="shared" si="3"/>
        <v>10.01</v>
      </c>
    </row>
    <row r="25" spans="1:13">
      <c r="A25" s="6">
        <v>12</v>
      </c>
      <c r="B25" s="11"/>
      <c r="C25" s="7"/>
      <c r="D25" s="68"/>
      <c r="E25" s="22"/>
      <c r="F25" s="18"/>
      <c r="G25" s="18"/>
      <c r="H25" s="18">
        <f t="shared" si="0"/>
        <v>0</v>
      </c>
      <c r="I25" s="18">
        <f t="shared" si="1"/>
        <v>0</v>
      </c>
      <c r="J25" s="23">
        <f t="shared" si="2"/>
        <v>0</v>
      </c>
      <c r="K25" s="18">
        <f t="shared" si="3"/>
        <v>0</v>
      </c>
      <c r="M25" s="46">
        <f>SUM(M14:M24)</f>
        <v>505.98609999999991</v>
      </c>
    </row>
    <row r="26" spans="1:13">
      <c r="A26" s="6">
        <v>13</v>
      </c>
      <c r="B26" s="12" t="s">
        <v>12</v>
      </c>
      <c r="C26" s="7"/>
      <c r="D26" s="68"/>
      <c r="E26" s="22"/>
      <c r="F26" s="18"/>
      <c r="G26" s="18"/>
      <c r="H26" s="18">
        <f t="shared" si="0"/>
        <v>0</v>
      </c>
      <c r="I26" s="18">
        <f t="shared" si="1"/>
        <v>0</v>
      </c>
      <c r="J26" s="23">
        <f t="shared" si="2"/>
        <v>0</v>
      </c>
      <c r="K26" s="18">
        <f t="shared" si="3"/>
        <v>0</v>
      </c>
    </row>
    <row r="27" spans="1:13">
      <c r="A27" s="6">
        <v>14</v>
      </c>
      <c r="B27" s="11" t="s">
        <v>130</v>
      </c>
      <c r="C27" s="7" t="s">
        <v>13</v>
      </c>
      <c r="D27" s="68">
        <v>48</v>
      </c>
      <c r="E27" s="22">
        <v>4.8499999999999996</v>
      </c>
      <c r="F27" s="18">
        <v>0.03</v>
      </c>
      <c r="G27" s="18">
        <v>0.4</v>
      </c>
      <c r="H27" s="18">
        <f t="shared" si="0"/>
        <v>232.79999999999998</v>
      </c>
      <c r="I27" s="18">
        <f t="shared" si="1"/>
        <v>1.44</v>
      </c>
      <c r="J27" s="23">
        <f t="shared" si="2"/>
        <v>19.200000000000003</v>
      </c>
      <c r="K27" s="18">
        <f t="shared" si="3"/>
        <v>253.44</v>
      </c>
    </row>
    <row r="28" spans="1:13">
      <c r="A28" s="6">
        <v>15</v>
      </c>
      <c r="B28" s="11" t="s">
        <v>14</v>
      </c>
      <c r="C28" s="7" t="s">
        <v>6</v>
      </c>
      <c r="D28" s="68">
        <v>82</v>
      </c>
      <c r="E28" s="22">
        <v>1.1000000000000001</v>
      </c>
      <c r="F28" s="18">
        <v>1.3</v>
      </c>
      <c r="G28" s="18">
        <v>0.11</v>
      </c>
      <c r="H28" s="18">
        <f t="shared" si="0"/>
        <v>90.2</v>
      </c>
      <c r="I28" s="18">
        <f t="shared" si="1"/>
        <v>106.60000000000001</v>
      </c>
      <c r="J28" s="23">
        <f t="shared" si="2"/>
        <v>9.02</v>
      </c>
      <c r="K28" s="18">
        <f t="shared" si="3"/>
        <v>205.82000000000002</v>
      </c>
    </row>
    <row r="29" spans="1:13">
      <c r="A29" s="6">
        <v>16</v>
      </c>
      <c r="B29" s="27" t="s">
        <v>27</v>
      </c>
      <c r="C29" s="7" t="s">
        <v>13</v>
      </c>
      <c r="D29" s="68">
        <v>1.8</v>
      </c>
      <c r="E29" s="22"/>
      <c r="F29" s="18">
        <v>79</v>
      </c>
      <c r="G29" s="18"/>
      <c r="H29" s="18">
        <f t="shared" si="0"/>
        <v>0</v>
      </c>
      <c r="I29" s="18">
        <f t="shared" si="1"/>
        <v>142.20000000000002</v>
      </c>
      <c r="J29" s="23">
        <f t="shared" si="2"/>
        <v>0</v>
      </c>
      <c r="K29" s="18">
        <f t="shared" si="3"/>
        <v>142.20000000000002</v>
      </c>
    </row>
    <row r="30" spans="1:13">
      <c r="A30" s="6">
        <v>17</v>
      </c>
      <c r="B30" s="11" t="s">
        <v>15</v>
      </c>
      <c r="C30" s="7" t="s">
        <v>16</v>
      </c>
      <c r="D30" s="68">
        <v>0.32</v>
      </c>
      <c r="E30" s="22">
        <v>55</v>
      </c>
      <c r="F30" s="18"/>
      <c r="G30" s="18">
        <v>0.55000000000000004</v>
      </c>
      <c r="H30" s="18">
        <f t="shared" si="0"/>
        <v>17.600000000000001</v>
      </c>
      <c r="I30" s="18">
        <f t="shared" si="1"/>
        <v>0</v>
      </c>
      <c r="J30" s="23">
        <f t="shared" si="2"/>
        <v>0.17600000000000002</v>
      </c>
      <c r="K30" s="18">
        <f t="shared" si="3"/>
        <v>17.776</v>
      </c>
    </row>
    <row r="31" spans="1:13">
      <c r="A31" s="6">
        <v>18</v>
      </c>
      <c r="B31" s="15" t="s">
        <v>17</v>
      </c>
      <c r="C31" s="7" t="s">
        <v>16</v>
      </c>
      <c r="D31" s="68">
        <v>0.32</v>
      </c>
      <c r="E31" s="22"/>
      <c r="F31" s="18">
        <v>185</v>
      </c>
      <c r="G31" s="18"/>
      <c r="H31" s="18">
        <f t="shared" si="0"/>
        <v>0</v>
      </c>
      <c r="I31" s="18">
        <f t="shared" si="1"/>
        <v>59.2</v>
      </c>
      <c r="J31" s="23">
        <f t="shared" si="2"/>
        <v>0</v>
      </c>
      <c r="K31" s="18">
        <f t="shared" si="3"/>
        <v>59.2</v>
      </c>
    </row>
    <row r="32" spans="1:13">
      <c r="A32" s="6">
        <v>19</v>
      </c>
      <c r="B32" s="15" t="s">
        <v>46</v>
      </c>
      <c r="C32" s="7" t="s">
        <v>47</v>
      </c>
      <c r="D32" s="68">
        <v>25</v>
      </c>
      <c r="E32" s="22"/>
      <c r="F32" s="18">
        <v>2.8</v>
      </c>
      <c r="G32" s="18"/>
      <c r="H32" s="18">
        <f t="shared" si="0"/>
        <v>0</v>
      </c>
      <c r="I32" s="18">
        <f t="shared" si="1"/>
        <v>70</v>
      </c>
      <c r="J32" s="23">
        <f t="shared" si="2"/>
        <v>0</v>
      </c>
      <c r="K32" s="18">
        <f t="shared" si="3"/>
        <v>70</v>
      </c>
    </row>
    <row r="33" spans="1:11">
      <c r="A33" s="6">
        <v>20</v>
      </c>
      <c r="B33" s="11" t="s">
        <v>18</v>
      </c>
      <c r="C33" s="7" t="s">
        <v>13</v>
      </c>
      <c r="D33" s="68">
        <v>16.5</v>
      </c>
      <c r="E33" s="22">
        <v>4.8499999999999996</v>
      </c>
      <c r="F33" s="18"/>
      <c r="G33" s="18">
        <v>0.48</v>
      </c>
      <c r="H33" s="18">
        <f t="shared" si="0"/>
        <v>80.024999999999991</v>
      </c>
      <c r="I33" s="18">
        <f t="shared" si="1"/>
        <v>0</v>
      </c>
      <c r="J33" s="23">
        <f t="shared" si="2"/>
        <v>7.92</v>
      </c>
      <c r="K33" s="18">
        <f t="shared" si="3"/>
        <v>87.944999999999993</v>
      </c>
    </row>
    <row r="34" spans="1:11">
      <c r="A34" s="6">
        <v>21</v>
      </c>
      <c r="B34" s="15" t="s">
        <v>19</v>
      </c>
      <c r="C34" s="7" t="s">
        <v>13</v>
      </c>
      <c r="D34" s="68">
        <v>16.5</v>
      </c>
      <c r="E34" s="22"/>
      <c r="F34" s="18">
        <v>25.8</v>
      </c>
      <c r="G34" s="18"/>
      <c r="H34" s="18">
        <f t="shared" si="0"/>
        <v>0</v>
      </c>
      <c r="I34" s="18">
        <f t="shared" si="1"/>
        <v>425.7</v>
      </c>
      <c r="J34" s="23">
        <f t="shared" si="2"/>
        <v>0</v>
      </c>
      <c r="K34" s="18">
        <f t="shared" si="3"/>
        <v>425.7</v>
      </c>
    </row>
    <row r="35" spans="1:11">
      <c r="A35" s="6">
        <v>22</v>
      </c>
      <c r="B35" s="16" t="s">
        <v>48</v>
      </c>
      <c r="C35" s="7" t="s">
        <v>6</v>
      </c>
      <c r="D35" s="68">
        <v>82</v>
      </c>
      <c r="E35" s="22">
        <v>0.15</v>
      </c>
      <c r="F35" s="18"/>
      <c r="G35" s="18">
        <v>0.01</v>
      </c>
      <c r="H35" s="18">
        <f t="shared" ref="H35:H52" si="4">D35*E35</f>
        <v>12.299999999999999</v>
      </c>
      <c r="I35" s="18">
        <f t="shared" ref="I35:I52" si="5">D35*F35</f>
        <v>0</v>
      </c>
      <c r="J35" s="23">
        <f t="shared" ref="J35:J52" si="6">D35*G35</f>
        <v>0.82000000000000006</v>
      </c>
      <c r="K35" s="18">
        <f t="shared" ref="K35:K52" si="7">H35+I35+J35</f>
        <v>13.12</v>
      </c>
    </row>
    <row r="36" spans="1:11">
      <c r="A36" s="6">
        <v>23</v>
      </c>
      <c r="B36" s="16" t="s">
        <v>22</v>
      </c>
      <c r="C36" s="7" t="s">
        <v>6</v>
      </c>
      <c r="D36" s="68">
        <v>41</v>
      </c>
      <c r="E36" s="22">
        <v>0.8</v>
      </c>
      <c r="F36" s="18"/>
      <c r="G36" s="18">
        <v>0.22</v>
      </c>
      <c r="H36" s="18">
        <f t="shared" si="4"/>
        <v>32.800000000000004</v>
      </c>
      <c r="I36" s="18">
        <f t="shared" si="5"/>
        <v>0</v>
      </c>
      <c r="J36" s="23">
        <f t="shared" si="6"/>
        <v>9.02</v>
      </c>
      <c r="K36" s="18">
        <f t="shared" si="7"/>
        <v>41.820000000000007</v>
      </c>
    </row>
    <row r="37" spans="1:11">
      <c r="A37" s="6">
        <v>24</v>
      </c>
      <c r="B37" s="27" t="s">
        <v>136</v>
      </c>
      <c r="C37" s="7" t="s">
        <v>13</v>
      </c>
      <c r="D37" s="68">
        <v>1.4</v>
      </c>
      <c r="E37" s="19"/>
      <c r="F37" s="19">
        <v>23</v>
      </c>
      <c r="G37" s="18"/>
      <c r="H37" s="18">
        <f t="shared" si="4"/>
        <v>0</v>
      </c>
      <c r="I37" s="18">
        <f t="shared" si="5"/>
        <v>32.199999999999996</v>
      </c>
      <c r="J37" s="23">
        <f t="shared" si="6"/>
        <v>0</v>
      </c>
      <c r="K37" s="18">
        <f t="shared" si="7"/>
        <v>32.199999999999996</v>
      </c>
    </row>
    <row r="38" spans="1:11">
      <c r="A38" s="6">
        <v>25</v>
      </c>
      <c r="B38" s="15" t="s">
        <v>49</v>
      </c>
      <c r="C38" s="7" t="s">
        <v>47</v>
      </c>
      <c r="D38" s="68">
        <v>20</v>
      </c>
      <c r="E38" s="22"/>
      <c r="F38" s="18">
        <v>0.33</v>
      </c>
      <c r="G38" s="18"/>
      <c r="H38" s="18">
        <f t="shared" si="4"/>
        <v>0</v>
      </c>
      <c r="I38" s="18">
        <f t="shared" si="5"/>
        <v>6.6000000000000005</v>
      </c>
      <c r="J38" s="23">
        <f t="shared" si="6"/>
        <v>0</v>
      </c>
      <c r="K38" s="18">
        <f t="shared" si="7"/>
        <v>6.6000000000000005</v>
      </c>
    </row>
    <row r="39" spans="1:11">
      <c r="A39" s="6">
        <v>26</v>
      </c>
      <c r="B39" s="11" t="s">
        <v>20</v>
      </c>
      <c r="C39" s="7" t="s">
        <v>13</v>
      </c>
      <c r="D39" s="68">
        <v>16</v>
      </c>
      <c r="E39" s="22">
        <v>3.85</v>
      </c>
      <c r="F39" s="18"/>
      <c r="G39" s="18">
        <v>0.4</v>
      </c>
      <c r="H39" s="18">
        <f t="shared" si="4"/>
        <v>61.6</v>
      </c>
      <c r="I39" s="18">
        <f t="shared" si="5"/>
        <v>0</v>
      </c>
      <c r="J39" s="23">
        <f t="shared" si="6"/>
        <v>6.4</v>
      </c>
      <c r="K39" s="18">
        <f t="shared" si="7"/>
        <v>68</v>
      </c>
    </row>
    <row r="40" spans="1:11">
      <c r="A40" s="6">
        <v>27</v>
      </c>
      <c r="B40" s="16" t="s">
        <v>23</v>
      </c>
      <c r="C40" s="7" t="s">
        <v>6</v>
      </c>
      <c r="D40" s="68">
        <v>8.5</v>
      </c>
      <c r="E40" s="22">
        <v>0.35</v>
      </c>
      <c r="F40" s="18"/>
      <c r="G40" s="18">
        <v>0.22</v>
      </c>
      <c r="H40" s="18">
        <f t="shared" si="4"/>
        <v>2.9749999999999996</v>
      </c>
      <c r="I40" s="18">
        <f t="shared" si="5"/>
        <v>0</v>
      </c>
      <c r="J40" s="23">
        <f t="shared" si="6"/>
        <v>1.87</v>
      </c>
      <c r="K40" s="18">
        <f t="shared" si="7"/>
        <v>4.8449999999999998</v>
      </c>
    </row>
    <row r="41" spans="1:11">
      <c r="A41" s="6">
        <v>28</v>
      </c>
      <c r="B41" s="27" t="s">
        <v>26</v>
      </c>
      <c r="C41" s="7" t="s">
        <v>6</v>
      </c>
      <c r="D41" s="68">
        <v>10</v>
      </c>
      <c r="E41" s="22"/>
      <c r="F41" s="18">
        <v>1.1200000000000001</v>
      </c>
      <c r="G41" s="18"/>
      <c r="H41" s="18">
        <f t="shared" si="4"/>
        <v>0</v>
      </c>
      <c r="I41" s="18">
        <f t="shared" si="5"/>
        <v>11.200000000000001</v>
      </c>
      <c r="J41" s="23">
        <f t="shared" si="6"/>
        <v>0</v>
      </c>
      <c r="K41" s="18">
        <f t="shared" si="7"/>
        <v>11.200000000000001</v>
      </c>
    </row>
    <row r="42" spans="1:11">
      <c r="A42" s="6">
        <v>29</v>
      </c>
      <c r="B42" s="16" t="s">
        <v>131</v>
      </c>
      <c r="C42" s="7" t="s">
        <v>6</v>
      </c>
      <c r="D42" s="68">
        <v>14.1</v>
      </c>
      <c r="E42" s="22">
        <v>1.43</v>
      </c>
      <c r="F42" s="18"/>
      <c r="G42" s="18">
        <v>0.17</v>
      </c>
      <c r="H42" s="18">
        <f t="shared" si="4"/>
        <v>20.163</v>
      </c>
      <c r="I42" s="18">
        <f t="shared" si="5"/>
        <v>0</v>
      </c>
      <c r="J42" s="23">
        <f t="shared" si="6"/>
        <v>2.3970000000000002</v>
      </c>
      <c r="K42" s="18">
        <f t="shared" si="7"/>
        <v>22.560000000000002</v>
      </c>
    </row>
    <row r="43" spans="1:11">
      <c r="A43" s="6">
        <v>30</v>
      </c>
      <c r="B43" s="15" t="s">
        <v>132</v>
      </c>
      <c r="C43" s="7" t="s">
        <v>6</v>
      </c>
      <c r="D43" s="68">
        <v>15</v>
      </c>
      <c r="E43" s="22"/>
      <c r="F43" s="18">
        <v>1.1000000000000001</v>
      </c>
      <c r="G43" s="18"/>
      <c r="H43" s="18">
        <f t="shared" si="4"/>
        <v>0</v>
      </c>
      <c r="I43" s="18">
        <f t="shared" si="5"/>
        <v>16.5</v>
      </c>
      <c r="J43" s="23">
        <f t="shared" si="6"/>
        <v>0</v>
      </c>
      <c r="K43" s="18">
        <f t="shared" si="7"/>
        <v>16.5</v>
      </c>
    </row>
    <row r="44" spans="1:11">
      <c r="A44" s="6">
        <v>31</v>
      </c>
      <c r="B44" s="15" t="s">
        <v>50</v>
      </c>
      <c r="C44" s="7" t="s">
        <v>47</v>
      </c>
      <c r="D44" s="68">
        <v>270</v>
      </c>
      <c r="E44" s="22"/>
      <c r="F44" s="18">
        <v>0.04</v>
      </c>
      <c r="G44" s="18"/>
      <c r="H44" s="18">
        <f t="shared" si="4"/>
        <v>0</v>
      </c>
      <c r="I44" s="18">
        <f t="shared" si="5"/>
        <v>10.8</v>
      </c>
      <c r="J44" s="23">
        <f t="shared" si="6"/>
        <v>0</v>
      </c>
      <c r="K44" s="18">
        <f t="shared" si="7"/>
        <v>10.8</v>
      </c>
    </row>
    <row r="45" spans="1:11">
      <c r="A45" s="6">
        <v>32</v>
      </c>
      <c r="B45" s="15" t="s">
        <v>51</v>
      </c>
      <c r="C45" s="7" t="s">
        <v>13</v>
      </c>
      <c r="D45" s="68">
        <v>1.41</v>
      </c>
      <c r="E45" s="22"/>
      <c r="F45" s="18">
        <v>4.8</v>
      </c>
      <c r="G45" s="18"/>
      <c r="H45" s="18">
        <f t="shared" si="4"/>
        <v>0</v>
      </c>
      <c r="I45" s="18">
        <f t="shared" si="5"/>
        <v>6.7679999999999998</v>
      </c>
      <c r="J45" s="23">
        <f t="shared" si="6"/>
        <v>0</v>
      </c>
      <c r="K45" s="18">
        <f t="shared" si="7"/>
        <v>6.7679999999999998</v>
      </c>
    </row>
    <row r="46" spans="1:11">
      <c r="A46" s="6">
        <v>33</v>
      </c>
      <c r="B46" s="11" t="s">
        <v>21</v>
      </c>
      <c r="C46" s="7" t="s">
        <v>13</v>
      </c>
      <c r="D46" s="68">
        <v>41</v>
      </c>
      <c r="E46" s="22">
        <v>12.2</v>
      </c>
      <c r="F46" s="18"/>
      <c r="G46" s="18">
        <v>0.95</v>
      </c>
      <c r="H46" s="18">
        <f t="shared" si="4"/>
        <v>500.2</v>
      </c>
      <c r="I46" s="18">
        <f t="shared" si="5"/>
        <v>0</v>
      </c>
      <c r="J46" s="23">
        <f t="shared" si="6"/>
        <v>38.949999999999996</v>
      </c>
      <c r="K46" s="18">
        <f t="shared" si="7"/>
        <v>539.15</v>
      </c>
    </row>
    <row r="47" spans="1:11">
      <c r="A47" s="6">
        <v>34</v>
      </c>
      <c r="B47" s="15" t="s">
        <v>24</v>
      </c>
      <c r="C47" s="7" t="s">
        <v>13</v>
      </c>
      <c r="D47" s="68">
        <v>38</v>
      </c>
      <c r="E47" s="22"/>
      <c r="F47" s="18">
        <v>31</v>
      </c>
      <c r="G47" s="18"/>
      <c r="H47" s="18">
        <f t="shared" si="4"/>
        <v>0</v>
      </c>
      <c r="I47" s="18">
        <f t="shared" si="5"/>
        <v>1178</v>
      </c>
      <c r="J47" s="23">
        <f t="shared" si="6"/>
        <v>0</v>
      </c>
      <c r="K47" s="18">
        <f t="shared" si="7"/>
        <v>1178</v>
      </c>
    </row>
    <row r="48" spans="1:11">
      <c r="A48" s="6">
        <v>35</v>
      </c>
      <c r="B48" s="15" t="s">
        <v>50</v>
      </c>
      <c r="C48" s="7" t="s">
        <v>16</v>
      </c>
      <c r="D48" s="68">
        <v>1.8</v>
      </c>
      <c r="E48" s="22"/>
      <c r="F48" s="18">
        <v>40</v>
      </c>
      <c r="G48" s="18"/>
      <c r="H48" s="18">
        <f t="shared" si="4"/>
        <v>0</v>
      </c>
      <c r="I48" s="18">
        <f t="shared" si="5"/>
        <v>72</v>
      </c>
      <c r="J48" s="23">
        <f t="shared" si="6"/>
        <v>0</v>
      </c>
      <c r="K48" s="18">
        <f t="shared" si="7"/>
        <v>72</v>
      </c>
    </row>
    <row r="49" spans="1:11">
      <c r="A49" s="6">
        <v>36</v>
      </c>
      <c r="B49" s="15" t="s">
        <v>51</v>
      </c>
      <c r="C49" s="7" t="s">
        <v>13</v>
      </c>
      <c r="D49" s="68">
        <v>10</v>
      </c>
      <c r="E49" s="22"/>
      <c r="F49" s="18">
        <v>4.8</v>
      </c>
      <c r="G49" s="18"/>
      <c r="H49" s="18">
        <f t="shared" si="4"/>
        <v>0</v>
      </c>
      <c r="I49" s="18">
        <f t="shared" si="5"/>
        <v>48</v>
      </c>
      <c r="J49" s="23">
        <f t="shared" si="6"/>
        <v>0</v>
      </c>
      <c r="K49" s="18">
        <f t="shared" si="7"/>
        <v>48</v>
      </c>
    </row>
    <row r="50" spans="1:11">
      <c r="A50" s="6">
        <v>37</v>
      </c>
      <c r="B50" s="11" t="s">
        <v>30</v>
      </c>
      <c r="C50" s="7" t="s">
        <v>6</v>
      </c>
      <c r="D50" s="68">
        <v>13.2</v>
      </c>
      <c r="E50" s="22">
        <v>3.2</v>
      </c>
      <c r="F50" s="18"/>
      <c r="G50" s="18">
        <v>0.32</v>
      </c>
      <c r="H50" s="18">
        <f t="shared" si="4"/>
        <v>42.24</v>
      </c>
      <c r="I50" s="18">
        <f t="shared" si="5"/>
        <v>0</v>
      </c>
      <c r="J50" s="23">
        <f t="shared" si="6"/>
        <v>4.2240000000000002</v>
      </c>
      <c r="K50" s="18">
        <f t="shared" si="7"/>
        <v>46.463999999999999</v>
      </c>
    </row>
    <row r="51" spans="1:11">
      <c r="A51" s="6">
        <v>38</v>
      </c>
      <c r="B51" s="27" t="s">
        <v>27</v>
      </c>
      <c r="C51" s="7" t="s">
        <v>13</v>
      </c>
      <c r="D51" s="68">
        <v>0.5</v>
      </c>
      <c r="E51" s="22"/>
      <c r="F51" s="22">
        <v>79</v>
      </c>
      <c r="G51" s="18"/>
      <c r="H51" s="18">
        <f t="shared" si="4"/>
        <v>0</v>
      </c>
      <c r="I51" s="18">
        <f t="shared" si="5"/>
        <v>39.5</v>
      </c>
      <c r="J51" s="23">
        <f t="shared" si="6"/>
        <v>0</v>
      </c>
      <c r="K51" s="18">
        <f t="shared" si="7"/>
        <v>39.5</v>
      </c>
    </row>
    <row r="52" spans="1:11">
      <c r="A52" s="6">
        <v>39</v>
      </c>
      <c r="B52" s="15" t="s">
        <v>28</v>
      </c>
      <c r="C52" s="7" t="s">
        <v>13</v>
      </c>
      <c r="D52" s="68">
        <v>2</v>
      </c>
      <c r="E52" s="22"/>
      <c r="F52" s="18">
        <v>24</v>
      </c>
      <c r="G52" s="18"/>
      <c r="H52" s="18">
        <f t="shared" si="4"/>
        <v>0</v>
      </c>
      <c r="I52" s="18">
        <f t="shared" si="5"/>
        <v>48</v>
      </c>
      <c r="J52" s="23">
        <f t="shared" si="6"/>
        <v>0</v>
      </c>
      <c r="K52" s="18">
        <f t="shared" si="7"/>
        <v>48</v>
      </c>
    </row>
    <row r="53" spans="1:11">
      <c r="A53" s="6">
        <v>40</v>
      </c>
      <c r="B53" s="15" t="s">
        <v>29</v>
      </c>
      <c r="C53" s="7" t="s">
        <v>6</v>
      </c>
      <c r="D53" s="68">
        <v>15</v>
      </c>
      <c r="E53" s="22"/>
      <c r="F53" s="18">
        <v>0.1</v>
      </c>
      <c r="G53" s="18"/>
      <c r="H53" s="18">
        <f>D53*E53</f>
        <v>0</v>
      </c>
      <c r="I53" s="18">
        <f>D53*F53</f>
        <v>1.5</v>
      </c>
      <c r="J53" s="23">
        <f>D53*G53</f>
        <v>0</v>
      </c>
      <c r="K53" s="18">
        <f>H53+I53+J53</f>
        <v>1.5</v>
      </c>
    </row>
    <row r="54" spans="1:11">
      <c r="A54" s="6">
        <v>41</v>
      </c>
      <c r="B54" s="15" t="s">
        <v>143</v>
      </c>
      <c r="C54" s="7" t="s">
        <v>11</v>
      </c>
      <c r="D54" s="68">
        <v>13</v>
      </c>
      <c r="E54" s="22"/>
      <c r="F54" s="18">
        <v>0.55000000000000004</v>
      </c>
      <c r="G54" s="18"/>
      <c r="H54" s="18">
        <f>D54*E54</f>
        <v>0</v>
      </c>
      <c r="I54" s="18">
        <f>D54*F54</f>
        <v>7.15</v>
      </c>
      <c r="J54" s="23">
        <f>D54*G54</f>
        <v>0</v>
      </c>
      <c r="K54" s="18">
        <f>H54+I54+J54</f>
        <v>7.15</v>
      </c>
    </row>
    <row r="55" spans="1:11">
      <c r="A55" s="6">
        <v>42</v>
      </c>
      <c r="B55" s="11" t="s">
        <v>197</v>
      </c>
      <c r="C55" s="7" t="s">
        <v>11</v>
      </c>
      <c r="D55" s="68">
        <v>3</v>
      </c>
      <c r="E55" s="22">
        <v>4</v>
      </c>
      <c r="F55" s="18">
        <v>18</v>
      </c>
      <c r="G55" s="18">
        <v>0.4</v>
      </c>
      <c r="H55" s="18">
        <f>D55*E55</f>
        <v>12</v>
      </c>
      <c r="I55" s="18">
        <f>D55*F55</f>
        <v>54</v>
      </c>
      <c r="J55" s="23">
        <f>D55*G55</f>
        <v>1.2000000000000002</v>
      </c>
      <c r="K55" s="18">
        <f>H55+I55+J55</f>
        <v>67.2</v>
      </c>
    </row>
    <row r="56" spans="1:11">
      <c r="A56" s="6">
        <v>43</v>
      </c>
      <c r="B56" s="11" t="s">
        <v>31</v>
      </c>
      <c r="C56" s="7" t="s">
        <v>6</v>
      </c>
      <c r="D56" s="68">
        <v>12.5</v>
      </c>
      <c r="E56" s="22">
        <v>2.2000000000000002</v>
      </c>
      <c r="F56" s="18"/>
      <c r="G56" s="18">
        <v>0.2</v>
      </c>
      <c r="H56" s="18">
        <f>D56*E56</f>
        <v>27.500000000000004</v>
      </c>
      <c r="I56" s="18">
        <f>D56*F56</f>
        <v>0</v>
      </c>
      <c r="J56" s="23">
        <f>D56*G56</f>
        <v>2.5</v>
      </c>
      <c r="K56" s="18">
        <f>H56+I56+J56</f>
        <v>30.000000000000004</v>
      </c>
    </row>
    <row r="57" spans="1:11">
      <c r="A57" s="6">
        <v>44</v>
      </c>
      <c r="B57" s="27" t="s">
        <v>27</v>
      </c>
      <c r="C57" s="7" t="s">
        <v>13</v>
      </c>
      <c r="D57" s="68">
        <v>1.5</v>
      </c>
      <c r="E57" s="22"/>
      <c r="F57" s="22">
        <v>79</v>
      </c>
      <c r="G57" s="18"/>
      <c r="H57" s="18">
        <f>D57*E57</f>
        <v>0</v>
      </c>
      <c r="I57" s="18">
        <f>D57*F57</f>
        <v>118.5</v>
      </c>
      <c r="J57" s="23">
        <f>D57*G57</f>
        <v>0</v>
      </c>
      <c r="K57" s="18">
        <f>H57+I57+J57</f>
        <v>118.5</v>
      </c>
    </row>
    <row r="58" spans="1:11">
      <c r="A58" s="6">
        <v>45</v>
      </c>
      <c r="B58" s="27" t="s">
        <v>133</v>
      </c>
      <c r="C58" s="7" t="s">
        <v>6</v>
      </c>
      <c r="D58" s="68">
        <v>12.5</v>
      </c>
      <c r="E58" s="22"/>
      <c r="F58" s="18">
        <v>3.77</v>
      </c>
      <c r="G58" s="18"/>
      <c r="H58" s="18">
        <f t="shared" ref="H58:H77" si="8">D58*E58</f>
        <v>0</v>
      </c>
      <c r="I58" s="18">
        <f t="shared" ref="I58:I77" si="9">D58*F58</f>
        <v>47.125</v>
      </c>
      <c r="J58" s="23">
        <f t="shared" ref="J58:J77" si="10">D58*G58</f>
        <v>0</v>
      </c>
      <c r="K58" s="18">
        <f t="shared" ref="K58:K77" si="11">H58+I58+J58</f>
        <v>47.125</v>
      </c>
    </row>
    <row r="59" spans="1:11">
      <c r="A59" s="6">
        <v>46</v>
      </c>
      <c r="B59" s="15" t="s">
        <v>29</v>
      </c>
      <c r="C59" s="7" t="s">
        <v>6</v>
      </c>
      <c r="D59" s="68">
        <v>15</v>
      </c>
      <c r="E59" s="22"/>
      <c r="F59" s="18">
        <v>0.1</v>
      </c>
      <c r="G59" s="18"/>
      <c r="H59" s="18">
        <f t="shared" si="8"/>
        <v>0</v>
      </c>
      <c r="I59" s="18">
        <f t="shared" si="9"/>
        <v>1.5</v>
      </c>
      <c r="J59" s="23">
        <f t="shared" si="10"/>
        <v>0</v>
      </c>
      <c r="K59" s="18">
        <f t="shared" si="11"/>
        <v>1.5</v>
      </c>
    </row>
    <row r="60" spans="1:11">
      <c r="A60" s="6">
        <v>47</v>
      </c>
      <c r="B60" s="15" t="s">
        <v>143</v>
      </c>
      <c r="C60" s="7" t="s">
        <v>11</v>
      </c>
      <c r="D60" s="68">
        <v>13</v>
      </c>
      <c r="E60" s="22"/>
      <c r="F60" s="18">
        <v>0.55000000000000004</v>
      </c>
      <c r="G60" s="18"/>
      <c r="H60" s="18">
        <f t="shared" si="8"/>
        <v>0</v>
      </c>
      <c r="I60" s="18">
        <f t="shared" si="9"/>
        <v>7.15</v>
      </c>
      <c r="J60" s="23">
        <f t="shared" si="10"/>
        <v>0</v>
      </c>
      <c r="K60" s="18">
        <f t="shared" si="11"/>
        <v>7.15</v>
      </c>
    </row>
    <row r="61" spans="1:11">
      <c r="A61" s="6">
        <v>48</v>
      </c>
      <c r="B61" s="11" t="s">
        <v>32</v>
      </c>
      <c r="C61" s="7" t="s">
        <v>6</v>
      </c>
      <c r="D61" s="68">
        <v>8.8000000000000007</v>
      </c>
      <c r="E61" s="22">
        <v>6.3</v>
      </c>
      <c r="F61" s="18"/>
      <c r="G61" s="18">
        <v>0.67</v>
      </c>
      <c r="H61" s="18">
        <f t="shared" si="8"/>
        <v>55.440000000000005</v>
      </c>
      <c r="I61" s="18">
        <f t="shared" si="9"/>
        <v>0</v>
      </c>
      <c r="J61" s="23">
        <f t="shared" si="10"/>
        <v>5.8960000000000008</v>
      </c>
      <c r="K61" s="18">
        <f t="shared" si="11"/>
        <v>61.336000000000006</v>
      </c>
    </row>
    <row r="62" spans="1:11">
      <c r="A62" s="6">
        <v>49</v>
      </c>
      <c r="B62" s="27" t="s">
        <v>27</v>
      </c>
      <c r="C62" s="7" t="s">
        <v>13</v>
      </c>
      <c r="D62" s="68">
        <v>1.5</v>
      </c>
      <c r="E62" s="22"/>
      <c r="F62" s="22">
        <v>79</v>
      </c>
      <c r="G62" s="18"/>
      <c r="H62" s="18">
        <f t="shared" ref="H62:H69" si="12">D62*E62</f>
        <v>0</v>
      </c>
      <c r="I62" s="18">
        <f t="shared" ref="I62:I69" si="13">D62*F62</f>
        <v>118.5</v>
      </c>
      <c r="J62" s="23">
        <f t="shared" ref="J62:J69" si="14">D62*G62</f>
        <v>0</v>
      </c>
      <c r="K62" s="18">
        <f t="shared" ref="K62:K70" si="15">H62+I62+J62</f>
        <v>118.5</v>
      </c>
    </row>
    <row r="63" spans="1:11">
      <c r="A63" s="6">
        <v>50</v>
      </c>
      <c r="B63" s="27" t="s">
        <v>133</v>
      </c>
      <c r="C63" s="7" t="s">
        <v>6</v>
      </c>
      <c r="D63" s="68">
        <v>27</v>
      </c>
      <c r="E63" s="22"/>
      <c r="F63" s="18">
        <v>3.77</v>
      </c>
      <c r="G63" s="18"/>
      <c r="H63" s="18">
        <f t="shared" si="12"/>
        <v>0</v>
      </c>
      <c r="I63" s="18">
        <f t="shared" si="13"/>
        <v>101.79</v>
      </c>
      <c r="J63" s="23">
        <f t="shared" si="14"/>
        <v>0</v>
      </c>
      <c r="K63" s="18">
        <f t="shared" si="15"/>
        <v>101.79</v>
      </c>
    </row>
    <row r="64" spans="1:11">
      <c r="A64" s="6">
        <v>51</v>
      </c>
      <c r="B64" s="15" t="s">
        <v>28</v>
      </c>
      <c r="C64" s="7" t="s">
        <v>13</v>
      </c>
      <c r="D64" s="68">
        <v>1</v>
      </c>
      <c r="E64" s="22"/>
      <c r="F64" s="18">
        <v>24</v>
      </c>
      <c r="G64" s="18"/>
      <c r="H64" s="18">
        <f t="shared" si="12"/>
        <v>0</v>
      </c>
      <c r="I64" s="18">
        <f t="shared" si="13"/>
        <v>24</v>
      </c>
      <c r="J64" s="23">
        <f t="shared" si="14"/>
        <v>0</v>
      </c>
      <c r="K64" s="18">
        <f t="shared" si="15"/>
        <v>24</v>
      </c>
    </row>
    <row r="65" spans="1:13">
      <c r="A65" s="6">
        <v>52</v>
      </c>
      <c r="B65" s="15" t="s">
        <v>29</v>
      </c>
      <c r="C65" s="7" t="s">
        <v>6</v>
      </c>
      <c r="D65" s="68">
        <v>10</v>
      </c>
      <c r="E65" s="22"/>
      <c r="F65" s="18">
        <v>0.1</v>
      </c>
      <c r="G65" s="18"/>
      <c r="H65" s="18">
        <f t="shared" si="12"/>
        <v>0</v>
      </c>
      <c r="I65" s="18">
        <f t="shared" si="13"/>
        <v>1</v>
      </c>
      <c r="J65" s="23">
        <f t="shared" si="14"/>
        <v>0</v>
      </c>
      <c r="K65" s="18">
        <f t="shared" si="15"/>
        <v>1</v>
      </c>
    </row>
    <row r="66" spans="1:13">
      <c r="A66" s="6">
        <v>53</v>
      </c>
      <c r="B66" s="15" t="s">
        <v>143</v>
      </c>
      <c r="C66" s="7" t="s">
        <v>11</v>
      </c>
      <c r="D66" s="68">
        <v>9</v>
      </c>
      <c r="E66" s="22"/>
      <c r="F66" s="18">
        <v>0.65</v>
      </c>
      <c r="G66" s="18"/>
      <c r="H66" s="18">
        <f t="shared" si="12"/>
        <v>0</v>
      </c>
      <c r="I66" s="18">
        <f t="shared" si="13"/>
        <v>5.8500000000000005</v>
      </c>
      <c r="J66" s="23">
        <f t="shared" si="14"/>
        <v>0</v>
      </c>
      <c r="K66" s="18">
        <f t="shared" si="15"/>
        <v>5.8500000000000005</v>
      </c>
    </row>
    <row r="67" spans="1:13">
      <c r="A67" s="6">
        <v>54</v>
      </c>
      <c r="B67" s="16" t="s">
        <v>139</v>
      </c>
      <c r="C67" s="7" t="s">
        <v>11</v>
      </c>
      <c r="D67" s="68">
        <v>1</v>
      </c>
      <c r="E67" s="78">
        <v>960</v>
      </c>
      <c r="F67" s="18"/>
      <c r="G67" s="18">
        <v>75</v>
      </c>
      <c r="H67" s="18">
        <f t="shared" si="12"/>
        <v>960</v>
      </c>
      <c r="I67" s="18">
        <f t="shared" si="13"/>
        <v>0</v>
      </c>
      <c r="J67" s="23">
        <f t="shared" si="14"/>
        <v>75</v>
      </c>
      <c r="K67" s="18">
        <f t="shared" si="15"/>
        <v>1035</v>
      </c>
      <c r="M67" s="18">
        <f>J67+K67+L67</f>
        <v>1110</v>
      </c>
    </row>
    <row r="68" spans="1:13">
      <c r="A68" s="6">
        <v>55</v>
      </c>
      <c r="B68" s="15" t="s">
        <v>140</v>
      </c>
      <c r="C68" s="7" t="s">
        <v>11</v>
      </c>
      <c r="D68" s="68">
        <v>5</v>
      </c>
      <c r="E68" s="22"/>
      <c r="F68" s="18">
        <v>353</v>
      </c>
      <c r="G68" s="18"/>
      <c r="H68" s="18">
        <f t="shared" si="12"/>
        <v>0</v>
      </c>
      <c r="I68" s="18">
        <f t="shared" si="13"/>
        <v>1765</v>
      </c>
      <c r="J68" s="23">
        <f t="shared" si="14"/>
        <v>0</v>
      </c>
      <c r="K68" s="18">
        <f t="shared" si="15"/>
        <v>1765</v>
      </c>
      <c r="M68" s="18">
        <f>J68+K68+L68</f>
        <v>1765</v>
      </c>
    </row>
    <row r="69" spans="1:13">
      <c r="A69" s="6">
        <v>56</v>
      </c>
      <c r="B69" s="15" t="s">
        <v>141</v>
      </c>
      <c r="C69" s="7" t="s">
        <v>11</v>
      </c>
      <c r="D69" s="68">
        <v>15</v>
      </c>
      <c r="E69" s="22"/>
      <c r="F69" s="18">
        <v>32</v>
      </c>
      <c r="G69" s="18"/>
      <c r="H69" s="18">
        <f t="shared" si="12"/>
        <v>0</v>
      </c>
      <c r="I69" s="18">
        <f t="shared" si="13"/>
        <v>480</v>
      </c>
      <c r="J69" s="23">
        <f t="shared" si="14"/>
        <v>0</v>
      </c>
      <c r="K69" s="18">
        <f t="shared" si="15"/>
        <v>480</v>
      </c>
      <c r="M69" s="18">
        <f>J69+K69+L69</f>
        <v>480</v>
      </c>
    </row>
    <row r="70" spans="1:13">
      <c r="A70" s="6">
        <v>57</v>
      </c>
      <c r="B70" s="15" t="s">
        <v>171</v>
      </c>
      <c r="C70" s="7" t="s">
        <v>114</v>
      </c>
      <c r="D70" s="68">
        <v>18</v>
      </c>
      <c r="E70" s="22"/>
      <c r="F70" s="18">
        <v>4.8</v>
      </c>
      <c r="G70" s="18"/>
      <c r="H70" s="18">
        <f>D70*E70</f>
        <v>0</v>
      </c>
      <c r="I70" s="18">
        <f>D70*F70</f>
        <v>86.399999999999991</v>
      </c>
      <c r="J70" s="23">
        <f>D70*G70</f>
        <v>0</v>
      </c>
      <c r="K70" s="18">
        <f t="shared" si="15"/>
        <v>86.399999999999991</v>
      </c>
      <c r="M70" s="17"/>
    </row>
    <row r="71" spans="1:13">
      <c r="A71" s="6">
        <v>58</v>
      </c>
      <c r="B71" s="11" t="s">
        <v>40</v>
      </c>
      <c r="C71" s="7" t="s">
        <v>6</v>
      </c>
      <c r="D71" s="68">
        <v>95</v>
      </c>
      <c r="E71" s="22">
        <v>1.6</v>
      </c>
      <c r="F71" s="18"/>
      <c r="G71" s="18">
        <v>0.15</v>
      </c>
      <c r="H71" s="18">
        <f t="shared" si="8"/>
        <v>152</v>
      </c>
      <c r="I71" s="18">
        <f t="shared" si="9"/>
        <v>0</v>
      </c>
      <c r="J71" s="23">
        <f t="shared" si="10"/>
        <v>14.25</v>
      </c>
      <c r="K71" s="18">
        <f t="shared" si="11"/>
        <v>166.25</v>
      </c>
      <c r="M71" s="46">
        <f>SUM(M67:M69)</f>
        <v>3355</v>
      </c>
    </row>
    <row r="72" spans="1:13">
      <c r="A72" s="6">
        <v>59</v>
      </c>
      <c r="B72" s="27" t="s">
        <v>133</v>
      </c>
      <c r="C72" s="7" t="s">
        <v>6</v>
      </c>
      <c r="D72" s="68">
        <v>95</v>
      </c>
      <c r="E72" s="22"/>
      <c r="F72" s="18">
        <v>3.77</v>
      </c>
      <c r="G72" s="18"/>
      <c r="H72" s="18">
        <f t="shared" si="8"/>
        <v>0</v>
      </c>
      <c r="I72" s="18">
        <f t="shared" si="9"/>
        <v>358.15</v>
      </c>
      <c r="J72" s="23">
        <f t="shared" si="10"/>
        <v>0</v>
      </c>
      <c r="K72" s="18">
        <f t="shared" si="11"/>
        <v>358.15</v>
      </c>
    </row>
    <row r="73" spans="1:13">
      <c r="A73" s="6">
        <v>60</v>
      </c>
      <c r="B73" s="15" t="s">
        <v>28</v>
      </c>
      <c r="C73" s="7" t="s">
        <v>13</v>
      </c>
      <c r="D73" s="68">
        <v>10</v>
      </c>
      <c r="E73" s="22"/>
      <c r="F73" s="18">
        <v>23</v>
      </c>
      <c r="G73" s="18"/>
      <c r="H73" s="18">
        <f t="shared" si="8"/>
        <v>0</v>
      </c>
      <c r="I73" s="18">
        <f t="shared" si="9"/>
        <v>230</v>
      </c>
      <c r="J73" s="23">
        <f t="shared" si="10"/>
        <v>0</v>
      </c>
      <c r="K73" s="18">
        <f t="shared" si="11"/>
        <v>230</v>
      </c>
    </row>
    <row r="74" spans="1:13">
      <c r="A74" s="6">
        <v>61</v>
      </c>
      <c r="B74" s="15" t="s">
        <v>29</v>
      </c>
      <c r="C74" s="7" t="s">
        <v>6</v>
      </c>
      <c r="D74" s="68">
        <v>100</v>
      </c>
      <c r="E74" s="22"/>
      <c r="F74" s="18">
        <v>0.1</v>
      </c>
      <c r="G74" s="18"/>
      <c r="H74" s="18">
        <f t="shared" si="8"/>
        <v>0</v>
      </c>
      <c r="I74" s="18">
        <f t="shared" si="9"/>
        <v>10</v>
      </c>
      <c r="J74" s="23">
        <f t="shared" si="10"/>
        <v>0</v>
      </c>
      <c r="K74" s="18">
        <f t="shared" si="11"/>
        <v>10</v>
      </c>
    </row>
    <row r="75" spans="1:13">
      <c r="A75" s="6">
        <v>62</v>
      </c>
      <c r="B75" s="15" t="s">
        <v>143</v>
      </c>
      <c r="C75" s="7" t="s">
        <v>11</v>
      </c>
      <c r="D75" s="68">
        <v>95</v>
      </c>
      <c r="E75" s="22"/>
      <c r="F75" s="18">
        <v>0.35</v>
      </c>
      <c r="G75" s="18"/>
      <c r="H75" s="18">
        <f t="shared" si="8"/>
        <v>0</v>
      </c>
      <c r="I75" s="18">
        <f t="shared" si="9"/>
        <v>33.25</v>
      </c>
      <c r="J75" s="23">
        <f t="shared" si="10"/>
        <v>0</v>
      </c>
      <c r="K75" s="18">
        <f t="shared" si="11"/>
        <v>33.25</v>
      </c>
    </row>
    <row r="76" spans="1:13">
      <c r="A76" s="6">
        <v>63</v>
      </c>
      <c r="B76" s="11" t="s">
        <v>33</v>
      </c>
      <c r="C76" s="7" t="s">
        <v>34</v>
      </c>
      <c r="D76" s="68">
        <v>59</v>
      </c>
      <c r="E76" s="22">
        <v>1.6</v>
      </c>
      <c r="F76" s="18"/>
      <c r="G76" s="18">
        <v>0.16</v>
      </c>
      <c r="H76" s="18">
        <f t="shared" si="8"/>
        <v>94.4</v>
      </c>
      <c r="I76" s="18">
        <f t="shared" si="9"/>
        <v>0</v>
      </c>
      <c r="J76" s="23">
        <f t="shared" si="10"/>
        <v>9.44</v>
      </c>
      <c r="K76" s="18">
        <f t="shared" si="11"/>
        <v>103.84</v>
      </c>
    </row>
    <row r="77" spans="1:13">
      <c r="A77" s="6">
        <v>64</v>
      </c>
      <c r="B77" s="15" t="s">
        <v>138</v>
      </c>
      <c r="C77" s="7" t="s">
        <v>13</v>
      </c>
      <c r="D77" s="68">
        <v>1.4</v>
      </c>
      <c r="E77" s="22"/>
      <c r="F77" s="18">
        <v>79</v>
      </c>
      <c r="G77" s="18"/>
      <c r="H77" s="18">
        <f t="shared" si="8"/>
        <v>0</v>
      </c>
      <c r="I77" s="18">
        <f t="shared" si="9"/>
        <v>110.6</v>
      </c>
      <c r="J77" s="23">
        <f t="shared" si="10"/>
        <v>0</v>
      </c>
      <c r="K77" s="18">
        <f t="shared" si="11"/>
        <v>110.6</v>
      </c>
    </row>
    <row r="78" spans="1:13">
      <c r="A78" s="6">
        <v>65</v>
      </c>
      <c r="B78" s="15" t="s">
        <v>39</v>
      </c>
      <c r="C78" s="7" t="s">
        <v>11</v>
      </c>
      <c r="D78" s="68">
        <v>36</v>
      </c>
      <c r="E78" s="22"/>
      <c r="F78" s="18">
        <v>0.42</v>
      </c>
      <c r="G78" s="18"/>
      <c r="H78" s="18">
        <f t="shared" ref="H78:H85" si="16">D78*E78</f>
        <v>0</v>
      </c>
      <c r="I78" s="18">
        <f t="shared" ref="I78:I85" si="17">D78*F78</f>
        <v>15.12</v>
      </c>
      <c r="J78" s="23">
        <f t="shared" ref="J78:J85" si="18">D78*G78</f>
        <v>0</v>
      </c>
      <c r="K78" s="18">
        <f t="shared" ref="K78:K85" si="19">H78+I78+J78</f>
        <v>15.12</v>
      </c>
    </row>
    <row r="79" spans="1:13">
      <c r="A79" s="6">
        <v>66</v>
      </c>
      <c r="B79" s="11" t="s">
        <v>35</v>
      </c>
      <c r="C79" s="7" t="s">
        <v>6</v>
      </c>
      <c r="D79" s="68">
        <v>150</v>
      </c>
      <c r="E79" s="22">
        <v>1.75</v>
      </c>
      <c r="F79" s="18"/>
      <c r="G79" s="18">
        <v>0.18</v>
      </c>
      <c r="H79" s="18">
        <f t="shared" si="16"/>
        <v>262.5</v>
      </c>
      <c r="I79" s="18">
        <f t="shared" si="17"/>
        <v>0</v>
      </c>
      <c r="J79" s="23">
        <f t="shared" si="18"/>
        <v>27</v>
      </c>
      <c r="K79" s="18">
        <f t="shared" si="19"/>
        <v>289.5</v>
      </c>
    </row>
    <row r="80" spans="1:13">
      <c r="A80" s="6">
        <v>67</v>
      </c>
      <c r="B80" s="27" t="s">
        <v>27</v>
      </c>
      <c r="C80" s="7" t="s">
        <v>13</v>
      </c>
      <c r="D80" s="68">
        <v>3</v>
      </c>
      <c r="E80" s="22"/>
      <c r="F80" s="22">
        <v>99</v>
      </c>
      <c r="G80" s="18"/>
      <c r="H80" s="18">
        <f t="shared" si="16"/>
        <v>0</v>
      </c>
      <c r="I80" s="18">
        <f t="shared" si="17"/>
        <v>297</v>
      </c>
      <c r="J80" s="23">
        <f t="shared" si="18"/>
        <v>0</v>
      </c>
      <c r="K80" s="18">
        <f t="shared" si="19"/>
        <v>297</v>
      </c>
    </row>
    <row r="81" spans="1:11">
      <c r="A81" s="6">
        <v>68</v>
      </c>
      <c r="B81" s="15" t="s">
        <v>36</v>
      </c>
      <c r="C81" s="7" t="s">
        <v>11</v>
      </c>
      <c r="D81" s="68">
        <v>250</v>
      </c>
      <c r="E81" s="22"/>
      <c r="F81" s="18">
        <v>0.44</v>
      </c>
      <c r="G81" s="18"/>
      <c r="H81" s="18">
        <f t="shared" si="16"/>
        <v>0</v>
      </c>
      <c r="I81" s="18">
        <f t="shared" si="17"/>
        <v>110</v>
      </c>
      <c r="J81" s="23">
        <f t="shared" si="18"/>
        <v>0</v>
      </c>
      <c r="K81" s="18">
        <f t="shared" si="19"/>
        <v>110</v>
      </c>
    </row>
    <row r="82" spans="1:11">
      <c r="A82" s="6">
        <v>69</v>
      </c>
      <c r="B82" s="15" t="s">
        <v>138</v>
      </c>
      <c r="C82" s="7" t="s">
        <v>13</v>
      </c>
      <c r="D82" s="68">
        <v>3</v>
      </c>
      <c r="E82" s="22"/>
      <c r="F82" s="18">
        <v>79</v>
      </c>
      <c r="G82" s="18"/>
      <c r="H82" s="18">
        <f t="shared" si="16"/>
        <v>0</v>
      </c>
      <c r="I82" s="18">
        <f t="shared" si="17"/>
        <v>237</v>
      </c>
      <c r="J82" s="23">
        <f t="shared" si="18"/>
        <v>0</v>
      </c>
      <c r="K82" s="18">
        <f t="shared" si="19"/>
        <v>237</v>
      </c>
    </row>
    <row r="83" spans="1:11">
      <c r="A83" s="6">
        <v>70</v>
      </c>
      <c r="B83" s="11" t="s">
        <v>37</v>
      </c>
      <c r="C83" s="7" t="s">
        <v>6</v>
      </c>
      <c r="D83" s="68">
        <v>150</v>
      </c>
      <c r="E83" s="22">
        <v>3.5</v>
      </c>
      <c r="F83" s="18"/>
      <c r="G83" s="18">
        <v>0.25</v>
      </c>
      <c r="H83" s="18">
        <f t="shared" si="16"/>
        <v>525</v>
      </c>
      <c r="I83" s="18">
        <f t="shared" si="17"/>
        <v>0</v>
      </c>
      <c r="J83" s="23">
        <f t="shared" si="18"/>
        <v>37.5</v>
      </c>
      <c r="K83" s="18">
        <f t="shared" si="19"/>
        <v>562.5</v>
      </c>
    </row>
    <row r="84" spans="1:11">
      <c r="A84" s="6">
        <v>71</v>
      </c>
      <c r="B84" s="27" t="s">
        <v>134</v>
      </c>
      <c r="C84" s="7" t="s">
        <v>6</v>
      </c>
      <c r="D84" s="68">
        <v>130</v>
      </c>
      <c r="E84" s="22"/>
      <c r="F84" s="18">
        <v>2.46</v>
      </c>
      <c r="G84" s="18"/>
      <c r="H84" s="18">
        <f t="shared" si="16"/>
        <v>0</v>
      </c>
      <c r="I84" s="18">
        <f t="shared" si="17"/>
        <v>319.8</v>
      </c>
      <c r="J84" s="23">
        <f t="shared" si="18"/>
        <v>0</v>
      </c>
      <c r="K84" s="18">
        <f t="shared" si="19"/>
        <v>319.8</v>
      </c>
    </row>
    <row r="85" spans="1:11">
      <c r="A85" s="6">
        <v>72</v>
      </c>
      <c r="B85" s="15" t="s">
        <v>28</v>
      </c>
      <c r="C85" s="7" t="s">
        <v>13</v>
      </c>
      <c r="D85" s="68">
        <v>20</v>
      </c>
      <c r="E85" s="22"/>
      <c r="F85" s="18">
        <v>24</v>
      </c>
      <c r="G85" s="18"/>
      <c r="H85" s="18">
        <f t="shared" si="16"/>
        <v>0</v>
      </c>
      <c r="I85" s="18">
        <f t="shared" si="17"/>
        <v>480</v>
      </c>
      <c r="J85" s="23">
        <f t="shared" si="18"/>
        <v>0</v>
      </c>
      <c r="K85" s="18">
        <f t="shared" si="19"/>
        <v>480</v>
      </c>
    </row>
    <row r="86" spans="1:11">
      <c r="A86" s="6">
        <v>73</v>
      </c>
      <c r="B86" s="15" t="s">
        <v>29</v>
      </c>
      <c r="C86" s="7" t="s">
        <v>6</v>
      </c>
      <c r="D86" s="68">
        <v>130</v>
      </c>
      <c r="E86" s="22"/>
      <c r="F86" s="18">
        <v>0.1</v>
      </c>
      <c r="G86" s="18"/>
      <c r="H86" s="18">
        <f t="shared" ref="H86:H182" si="20">D86*E86</f>
        <v>0</v>
      </c>
      <c r="I86" s="18">
        <f t="shared" ref="I86:I182" si="21">D86*F86</f>
        <v>13</v>
      </c>
      <c r="J86" s="23">
        <f t="shared" ref="J86:J182" si="22">D86*G86</f>
        <v>0</v>
      </c>
      <c r="K86" s="18">
        <f t="shared" ref="K86:K130" si="23">H86+I86+J86</f>
        <v>13</v>
      </c>
    </row>
    <row r="87" spans="1:11">
      <c r="A87" s="6">
        <v>74</v>
      </c>
      <c r="B87" s="15" t="s">
        <v>38</v>
      </c>
      <c r="C87" s="7" t="s">
        <v>6</v>
      </c>
      <c r="D87" s="68">
        <v>300</v>
      </c>
      <c r="E87" s="22"/>
      <c r="F87" s="18">
        <v>0.9</v>
      </c>
      <c r="G87" s="18"/>
      <c r="H87" s="18">
        <f t="shared" si="20"/>
        <v>0</v>
      </c>
      <c r="I87" s="18">
        <f t="shared" si="21"/>
        <v>270</v>
      </c>
      <c r="J87" s="23">
        <f t="shared" si="22"/>
        <v>0</v>
      </c>
      <c r="K87" s="18">
        <f t="shared" si="23"/>
        <v>270</v>
      </c>
    </row>
    <row r="88" spans="1:11">
      <c r="A88" s="6">
        <v>75</v>
      </c>
      <c r="B88" s="15" t="s">
        <v>39</v>
      </c>
      <c r="C88" s="7" t="s">
        <v>142</v>
      </c>
      <c r="D88" s="68">
        <v>6</v>
      </c>
      <c r="E88" s="22"/>
      <c r="F88" s="18">
        <v>9.8000000000000007</v>
      </c>
      <c r="G88" s="18"/>
      <c r="H88" s="18">
        <f t="shared" si="20"/>
        <v>0</v>
      </c>
      <c r="I88" s="18">
        <f t="shared" si="21"/>
        <v>58.800000000000004</v>
      </c>
      <c r="J88" s="23">
        <f t="shared" si="22"/>
        <v>0</v>
      </c>
      <c r="K88" s="18">
        <f t="shared" si="23"/>
        <v>58.800000000000004</v>
      </c>
    </row>
    <row r="89" spans="1:11">
      <c r="A89" s="6">
        <v>76</v>
      </c>
      <c r="B89" s="11" t="s">
        <v>206</v>
      </c>
      <c r="C89" s="7" t="s">
        <v>6</v>
      </c>
      <c r="D89" s="68">
        <v>51.3</v>
      </c>
      <c r="E89" s="22">
        <v>3.2</v>
      </c>
      <c r="F89" s="18"/>
      <c r="G89" s="18">
        <v>0.32</v>
      </c>
      <c r="H89" s="18">
        <f t="shared" si="20"/>
        <v>164.16</v>
      </c>
      <c r="I89" s="18">
        <f t="shared" si="21"/>
        <v>0</v>
      </c>
      <c r="J89" s="23">
        <f t="shared" si="22"/>
        <v>16.416</v>
      </c>
      <c r="K89" s="18">
        <f t="shared" si="23"/>
        <v>180.57599999999999</v>
      </c>
    </row>
    <row r="90" spans="1:11">
      <c r="A90" s="6">
        <v>77</v>
      </c>
      <c r="B90" s="27" t="s">
        <v>134</v>
      </c>
      <c r="C90" s="7" t="s">
        <v>6</v>
      </c>
      <c r="D90" s="68">
        <v>52</v>
      </c>
      <c r="E90" s="22"/>
      <c r="F90" s="18">
        <v>2.46</v>
      </c>
      <c r="G90" s="18"/>
      <c r="H90" s="18">
        <f t="shared" si="20"/>
        <v>0</v>
      </c>
      <c r="I90" s="18">
        <f t="shared" si="21"/>
        <v>127.92</v>
      </c>
      <c r="J90" s="23">
        <f t="shared" si="22"/>
        <v>0</v>
      </c>
      <c r="K90" s="18">
        <f t="shared" si="23"/>
        <v>127.92</v>
      </c>
    </row>
    <row r="91" spans="1:11">
      <c r="A91" s="6">
        <v>78</v>
      </c>
      <c r="B91" s="27" t="s">
        <v>27</v>
      </c>
      <c r="C91" s="7" t="s">
        <v>13</v>
      </c>
      <c r="D91" s="68">
        <v>2.7</v>
      </c>
      <c r="E91" s="22"/>
      <c r="F91" s="22">
        <v>99</v>
      </c>
      <c r="G91" s="18"/>
      <c r="H91" s="18">
        <f t="shared" si="20"/>
        <v>0</v>
      </c>
      <c r="I91" s="18">
        <f t="shared" si="21"/>
        <v>267.3</v>
      </c>
      <c r="J91" s="23">
        <f t="shared" si="22"/>
        <v>0</v>
      </c>
      <c r="K91" s="18">
        <f t="shared" si="23"/>
        <v>267.3</v>
      </c>
    </row>
    <row r="92" spans="1:11">
      <c r="A92" s="6">
        <v>79</v>
      </c>
      <c r="B92" s="15" t="s">
        <v>28</v>
      </c>
      <c r="C92" s="7" t="s">
        <v>13</v>
      </c>
      <c r="D92" s="68">
        <v>11</v>
      </c>
      <c r="E92" s="22"/>
      <c r="F92" s="18">
        <v>24</v>
      </c>
      <c r="G92" s="18"/>
      <c r="H92" s="18">
        <f t="shared" si="20"/>
        <v>0</v>
      </c>
      <c r="I92" s="18">
        <f t="shared" si="21"/>
        <v>264</v>
      </c>
      <c r="J92" s="23">
        <f t="shared" si="22"/>
        <v>0</v>
      </c>
      <c r="K92" s="18">
        <f t="shared" si="23"/>
        <v>264</v>
      </c>
    </row>
    <row r="93" spans="1:11">
      <c r="A93" s="6">
        <v>80</v>
      </c>
      <c r="B93" s="15" t="s">
        <v>29</v>
      </c>
      <c r="C93" s="7" t="s">
        <v>6</v>
      </c>
      <c r="D93" s="68">
        <v>110</v>
      </c>
      <c r="E93" s="22"/>
      <c r="F93" s="18">
        <v>0.1</v>
      </c>
      <c r="G93" s="18"/>
      <c r="H93" s="18">
        <f t="shared" si="20"/>
        <v>0</v>
      </c>
      <c r="I93" s="18">
        <f t="shared" si="21"/>
        <v>11</v>
      </c>
      <c r="J93" s="23">
        <f t="shared" si="22"/>
        <v>0</v>
      </c>
      <c r="K93" s="18">
        <f t="shared" si="23"/>
        <v>11</v>
      </c>
    </row>
    <row r="94" spans="1:11">
      <c r="A94" s="6">
        <v>81</v>
      </c>
      <c r="B94" s="15" t="s">
        <v>143</v>
      </c>
      <c r="C94" s="7" t="s">
        <v>11</v>
      </c>
      <c r="D94" s="68">
        <v>52</v>
      </c>
      <c r="E94" s="22"/>
      <c r="F94" s="18">
        <v>0.55000000000000004</v>
      </c>
      <c r="G94" s="18"/>
      <c r="H94" s="18">
        <f t="shared" si="20"/>
        <v>0</v>
      </c>
      <c r="I94" s="18">
        <f t="shared" si="21"/>
        <v>28.6</v>
      </c>
      <c r="J94" s="23">
        <f t="shared" si="22"/>
        <v>0</v>
      </c>
      <c r="K94" s="18">
        <f t="shared" si="23"/>
        <v>28.6</v>
      </c>
    </row>
    <row r="95" spans="1:11">
      <c r="A95" s="6">
        <v>82</v>
      </c>
      <c r="B95" s="11" t="s">
        <v>145</v>
      </c>
      <c r="C95" s="7" t="s">
        <v>6</v>
      </c>
      <c r="D95" s="68">
        <v>77</v>
      </c>
      <c r="E95" s="22">
        <v>3.5</v>
      </c>
      <c r="F95" s="18"/>
      <c r="G95" s="18">
        <v>0.35</v>
      </c>
      <c r="H95" s="18">
        <f>D95*E95</f>
        <v>269.5</v>
      </c>
      <c r="I95" s="18">
        <f>D95*F95</f>
        <v>0</v>
      </c>
      <c r="J95" s="23">
        <f>D95*G95</f>
        <v>26.95</v>
      </c>
      <c r="K95" s="18">
        <f t="shared" si="23"/>
        <v>296.45</v>
      </c>
    </row>
    <row r="96" spans="1:11">
      <c r="A96" s="6">
        <v>83</v>
      </c>
      <c r="B96" s="27" t="s">
        <v>27</v>
      </c>
      <c r="C96" s="7" t="s">
        <v>13</v>
      </c>
      <c r="D96" s="68">
        <v>2.6</v>
      </c>
      <c r="E96" s="22"/>
      <c r="F96" s="18">
        <v>79</v>
      </c>
      <c r="G96" s="18"/>
      <c r="H96" s="18">
        <f>D96*E96</f>
        <v>0</v>
      </c>
      <c r="I96" s="18">
        <f>D96*F96</f>
        <v>205.4</v>
      </c>
      <c r="J96" s="23">
        <f>D96*G96</f>
        <v>0</v>
      </c>
      <c r="K96" s="18">
        <f t="shared" si="23"/>
        <v>205.4</v>
      </c>
    </row>
    <row r="97" spans="1:11">
      <c r="A97" s="6">
        <v>84</v>
      </c>
      <c r="B97" s="27" t="s">
        <v>133</v>
      </c>
      <c r="C97" s="7" t="s">
        <v>6</v>
      </c>
      <c r="D97" s="68">
        <v>77</v>
      </c>
      <c r="E97" s="22"/>
      <c r="F97" s="18">
        <v>3.77</v>
      </c>
      <c r="G97" s="18"/>
      <c r="H97" s="18">
        <f>D97*E97</f>
        <v>0</v>
      </c>
      <c r="I97" s="18">
        <f>D97*F97</f>
        <v>290.29000000000002</v>
      </c>
      <c r="J97" s="23">
        <f>D97*G97</f>
        <v>0</v>
      </c>
      <c r="K97" s="18">
        <f t="shared" si="23"/>
        <v>290.29000000000002</v>
      </c>
    </row>
    <row r="98" spans="1:11">
      <c r="A98" s="6">
        <v>85</v>
      </c>
      <c r="B98" s="15" t="s">
        <v>146</v>
      </c>
      <c r="C98" s="7" t="s">
        <v>11</v>
      </c>
      <c r="D98" s="68">
        <v>50</v>
      </c>
      <c r="E98" s="22"/>
      <c r="F98" s="18">
        <v>0.65</v>
      </c>
      <c r="G98" s="18"/>
      <c r="H98" s="18">
        <f>D98*E98</f>
        <v>0</v>
      </c>
      <c r="I98" s="18">
        <f>D98*F98</f>
        <v>32.5</v>
      </c>
      <c r="J98" s="23">
        <f>D98*G98</f>
        <v>0</v>
      </c>
      <c r="K98" s="18">
        <f t="shared" si="23"/>
        <v>32.5</v>
      </c>
    </row>
    <row r="99" spans="1:11">
      <c r="A99" s="6">
        <v>86</v>
      </c>
      <c r="B99" s="27" t="s">
        <v>41</v>
      </c>
      <c r="C99" s="7" t="s">
        <v>6</v>
      </c>
      <c r="D99" s="68">
        <v>80</v>
      </c>
      <c r="E99" s="22"/>
      <c r="F99" s="18">
        <v>4.5999999999999996</v>
      </c>
      <c r="G99" s="18"/>
      <c r="H99" s="18">
        <f>D99*E99</f>
        <v>0</v>
      </c>
      <c r="I99" s="18">
        <f>D99*F99</f>
        <v>368</v>
      </c>
      <c r="J99" s="23">
        <f>D99*G99</f>
        <v>0</v>
      </c>
      <c r="K99" s="18">
        <f t="shared" si="23"/>
        <v>368</v>
      </c>
    </row>
    <row r="100" spans="1:11">
      <c r="A100" s="6">
        <v>87</v>
      </c>
      <c r="B100" s="11" t="s">
        <v>144</v>
      </c>
      <c r="C100" s="7" t="s">
        <v>6</v>
      </c>
      <c r="D100" s="68">
        <v>22.72</v>
      </c>
      <c r="E100" s="22">
        <v>3.3</v>
      </c>
      <c r="F100" s="18"/>
      <c r="G100" s="18">
        <v>0.35</v>
      </c>
      <c r="H100" s="18">
        <f t="shared" si="20"/>
        <v>74.975999999999999</v>
      </c>
      <c r="I100" s="18">
        <f t="shared" si="21"/>
        <v>0</v>
      </c>
      <c r="J100" s="23">
        <f t="shared" si="22"/>
        <v>7.9519999999999991</v>
      </c>
      <c r="K100" s="18">
        <f t="shared" si="23"/>
        <v>82.927999999999997</v>
      </c>
    </row>
    <row r="101" spans="1:11">
      <c r="A101" s="6">
        <v>88</v>
      </c>
      <c r="B101" s="27" t="s">
        <v>27</v>
      </c>
      <c r="C101" s="7" t="s">
        <v>13</v>
      </c>
      <c r="D101" s="68">
        <v>1.5</v>
      </c>
      <c r="E101" s="22"/>
      <c r="F101" s="22">
        <v>79</v>
      </c>
      <c r="G101" s="18"/>
      <c r="H101" s="18">
        <f t="shared" si="20"/>
        <v>0</v>
      </c>
      <c r="I101" s="18">
        <f t="shared" si="21"/>
        <v>118.5</v>
      </c>
      <c r="J101" s="23">
        <f t="shared" si="22"/>
        <v>0</v>
      </c>
      <c r="K101" s="18">
        <f t="shared" si="23"/>
        <v>118.5</v>
      </c>
    </row>
    <row r="102" spans="1:11">
      <c r="A102" s="6">
        <v>89</v>
      </c>
      <c r="B102" s="27" t="s">
        <v>133</v>
      </c>
      <c r="C102" s="7" t="s">
        <v>6</v>
      </c>
      <c r="D102" s="68">
        <v>23</v>
      </c>
      <c r="E102" s="22"/>
      <c r="F102" s="18">
        <v>3.77</v>
      </c>
      <c r="G102" s="18"/>
      <c r="H102" s="18">
        <f t="shared" si="20"/>
        <v>0</v>
      </c>
      <c r="I102" s="18">
        <f t="shared" si="21"/>
        <v>86.71</v>
      </c>
      <c r="J102" s="23">
        <f t="shared" si="22"/>
        <v>0</v>
      </c>
      <c r="K102" s="18">
        <f t="shared" si="23"/>
        <v>86.71</v>
      </c>
    </row>
    <row r="103" spans="1:11">
      <c r="A103" s="6">
        <v>90</v>
      </c>
      <c r="B103" s="27" t="s">
        <v>134</v>
      </c>
      <c r="C103" s="7" t="s">
        <v>6</v>
      </c>
      <c r="D103" s="68">
        <v>23</v>
      </c>
      <c r="E103" s="22"/>
      <c r="F103" s="18">
        <v>2.46</v>
      </c>
      <c r="G103" s="18"/>
      <c r="H103" s="18">
        <f t="shared" si="20"/>
        <v>0</v>
      </c>
      <c r="I103" s="18">
        <f t="shared" si="21"/>
        <v>56.58</v>
      </c>
      <c r="J103" s="23">
        <f t="shared" si="22"/>
        <v>0</v>
      </c>
      <c r="K103" s="18">
        <f t="shared" si="23"/>
        <v>56.58</v>
      </c>
    </row>
    <row r="104" spans="1:11">
      <c r="A104" s="6">
        <v>91</v>
      </c>
      <c r="B104" s="15" t="s">
        <v>28</v>
      </c>
      <c r="C104" s="7" t="s">
        <v>13</v>
      </c>
      <c r="D104" s="68">
        <v>4.5</v>
      </c>
      <c r="E104" s="22"/>
      <c r="F104" s="18">
        <v>24</v>
      </c>
      <c r="G104" s="18"/>
      <c r="H104" s="18">
        <f t="shared" si="20"/>
        <v>0</v>
      </c>
      <c r="I104" s="18">
        <f t="shared" si="21"/>
        <v>108</v>
      </c>
      <c r="J104" s="23">
        <f t="shared" si="22"/>
        <v>0</v>
      </c>
      <c r="K104" s="18">
        <f t="shared" si="23"/>
        <v>108</v>
      </c>
    </row>
    <row r="105" spans="1:11">
      <c r="A105" s="6">
        <v>92</v>
      </c>
      <c r="B105" s="15" t="s">
        <v>39</v>
      </c>
      <c r="C105" s="7" t="s">
        <v>11</v>
      </c>
      <c r="D105" s="68">
        <v>28</v>
      </c>
      <c r="E105" s="22"/>
      <c r="F105" s="18">
        <v>0.55000000000000004</v>
      </c>
      <c r="G105" s="18"/>
      <c r="H105" s="18">
        <f t="shared" si="20"/>
        <v>0</v>
      </c>
      <c r="I105" s="18">
        <f t="shared" si="21"/>
        <v>15.400000000000002</v>
      </c>
      <c r="J105" s="23">
        <f t="shared" si="22"/>
        <v>0</v>
      </c>
      <c r="K105" s="18">
        <f t="shared" si="23"/>
        <v>15.400000000000002</v>
      </c>
    </row>
    <row r="106" spans="1:11">
      <c r="A106" s="6">
        <v>93</v>
      </c>
      <c r="B106" s="15" t="s">
        <v>29</v>
      </c>
      <c r="C106" s="7" t="s">
        <v>6</v>
      </c>
      <c r="D106" s="68">
        <v>45</v>
      </c>
      <c r="E106" s="22"/>
      <c r="F106" s="18">
        <v>0.1</v>
      </c>
      <c r="G106" s="18"/>
      <c r="H106" s="18">
        <f t="shared" si="20"/>
        <v>0</v>
      </c>
      <c r="I106" s="18">
        <f t="shared" si="21"/>
        <v>4.5</v>
      </c>
      <c r="J106" s="23">
        <f t="shared" si="22"/>
        <v>0</v>
      </c>
      <c r="K106" s="18">
        <f t="shared" si="23"/>
        <v>4.5</v>
      </c>
    </row>
    <row r="107" spans="1:11">
      <c r="A107" s="6">
        <v>94</v>
      </c>
      <c r="B107" s="27" t="s">
        <v>41</v>
      </c>
      <c r="C107" s="7" t="s">
        <v>6</v>
      </c>
      <c r="D107" s="68">
        <v>25</v>
      </c>
      <c r="E107" s="19"/>
      <c r="F107" s="19">
        <v>4.5999999999999996</v>
      </c>
      <c r="G107" s="19"/>
      <c r="H107" s="18">
        <f t="shared" si="20"/>
        <v>0</v>
      </c>
      <c r="I107" s="18">
        <f t="shared" si="21"/>
        <v>114.99999999999999</v>
      </c>
      <c r="J107" s="23">
        <f t="shared" si="22"/>
        <v>0</v>
      </c>
      <c r="K107" s="18">
        <f t="shared" si="23"/>
        <v>114.99999999999999</v>
      </c>
    </row>
    <row r="108" spans="1:11">
      <c r="A108" s="6">
        <v>95</v>
      </c>
      <c r="B108" s="28" t="s">
        <v>60</v>
      </c>
      <c r="C108" s="7" t="s">
        <v>11</v>
      </c>
      <c r="D108" s="68">
        <v>4</v>
      </c>
      <c r="E108" s="19">
        <v>28</v>
      </c>
      <c r="F108" s="19"/>
      <c r="G108" s="19">
        <v>2.8</v>
      </c>
      <c r="H108" s="18">
        <f t="shared" si="20"/>
        <v>112</v>
      </c>
      <c r="I108" s="18">
        <f t="shared" si="21"/>
        <v>0</v>
      </c>
      <c r="J108" s="23">
        <f t="shared" si="22"/>
        <v>11.2</v>
      </c>
      <c r="K108" s="18">
        <f t="shared" si="23"/>
        <v>123.2</v>
      </c>
    </row>
    <row r="109" spans="1:11">
      <c r="A109" s="6">
        <v>96</v>
      </c>
      <c r="B109" s="27" t="s">
        <v>154</v>
      </c>
      <c r="C109" s="7" t="s">
        <v>11</v>
      </c>
      <c r="D109" s="68">
        <v>4</v>
      </c>
      <c r="E109" s="19"/>
      <c r="F109" s="19">
        <v>153.38999999999999</v>
      </c>
      <c r="G109" s="19"/>
      <c r="H109" s="18">
        <f t="shared" si="20"/>
        <v>0</v>
      </c>
      <c r="I109" s="18">
        <f t="shared" si="21"/>
        <v>613.55999999999995</v>
      </c>
      <c r="J109" s="23">
        <f t="shared" si="22"/>
        <v>0</v>
      </c>
      <c r="K109" s="18">
        <f t="shared" si="23"/>
        <v>613.55999999999995</v>
      </c>
    </row>
    <row r="110" spans="1:11">
      <c r="A110" s="6">
        <v>97</v>
      </c>
      <c r="B110" s="27" t="s">
        <v>147</v>
      </c>
      <c r="C110" s="7" t="s">
        <v>114</v>
      </c>
      <c r="D110" s="68">
        <v>12</v>
      </c>
      <c r="E110" s="19"/>
      <c r="F110" s="19">
        <v>1.1000000000000001</v>
      </c>
      <c r="G110" s="19"/>
      <c r="H110" s="18">
        <f t="shared" si="20"/>
        <v>0</v>
      </c>
      <c r="I110" s="18">
        <f t="shared" si="21"/>
        <v>13.200000000000001</v>
      </c>
      <c r="J110" s="23">
        <f t="shared" si="22"/>
        <v>0</v>
      </c>
      <c r="K110" s="18">
        <f t="shared" si="23"/>
        <v>13.200000000000001</v>
      </c>
    </row>
    <row r="111" spans="1:11">
      <c r="A111" s="6">
        <v>98</v>
      </c>
      <c r="B111" s="28" t="s">
        <v>42</v>
      </c>
      <c r="C111" s="7" t="s">
        <v>6</v>
      </c>
      <c r="D111" s="68">
        <v>33.75</v>
      </c>
      <c r="E111" s="19">
        <v>3.5</v>
      </c>
      <c r="F111" s="19"/>
      <c r="G111" s="19">
        <v>0.35</v>
      </c>
      <c r="H111" s="18">
        <f t="shared" si="20"/>
        <v>118.125</v>
      </c>
      <c r="I111" s="18">
        <f t="shared" si="21"/>
        <v>0</v>
      </c>
      <c r="J111" s="23">
        <f t="shared" si="22"/>
        <v>11.8125</v>
      </c>
      <c r="K111" s="18">
        <f t="shared" si="23"/>
        <v>129.9375</v>
      </c>
    </row>
    <row r="112" spans="1:11">
      <c r="A112" s="6">
        <v>99</v>
      </c>
      <c r="B112" s="27" t="s">
        <v>27</v>
      </c>
      <c r="C112" s="7" t="s">
        <v>13</v>
      </c>
      <c r="D112" s="68">
        <v>1.6</v>
      </c>
      <c r="E112" s="19"/>
      <c r="F112" s="22">
        <v>79</v>
      </c>
      <c r="G112" s="19"/>
      <c r="H112" s="18">
        <f t="shared" si="20"/>
        <v>0</v>
      </c>
      <c r="I112" s="18">
        <f t="shared" si="21"/>
        <v>126.4</v>
      </c>
      <c r="J112" s="23">
        <f t="shared" si="22"/>
        <v>0</v>
      </c>
      <c r="K112" s="18">
        <f t="shared" si="23"/>
        <v>126.4</v>
      </c>
    </row>
    <row r="113" spans="1:11">
      <c r="A113" s="6">
        <v>100</v>
      </c>
      <c r="B113" s="27" t="s">
        <v>133</v>
      </c>
      <c r="C113" s="7" t="s">
        <v>6</v>
      </c>
      <c r="D113" s="68">
        <v>35</v>
      </c>
      <c r="E113" s="22"/>
      <c r="F113" s="18">
        <v>3.77</v>
      </c>
      <c r="G113" s="19"/>
      <c r="H113" s="18">
        <f t="shared" si="20"/>
        <v>0</v>
      </c>
      <c r="I113" s="18">
        <f t="shared" si="21"/>
        <v>131.94999999999999</v>
      </c>
      <c r="J113" s="23">
        <f t="shared" si="22"/>
        <v>0</v>
      </c>
      <c r="K113" s="18">
        <f t="shared" si="23"/>
        <v>131.94999999999999</v>
      </c>
    </row>
    <row r="114" spans="1:11">
      <c r="A114" s="6">
        <v>101</v>
      </c>
      <c r="B114" s="27" t="s">
        <v>134</v>
      </c>
      <c r="C114" s="7" t="s">
        <v>6</v>
      </c>
      <c r="D114" s="68">
        <v>35</v>
      </c>
      <c r="E114" s="22"/>
      <c r="F114" s="18">
        <v>2.46</v>
      </c>
      <c r="G114" s="19"/>
      <c r="H114" s="18">
        <f>D114*E114</f>
        <v>0</v>
      </c>
      <c r="I114" s="18">
        <f>D114*F114</f>
        <v>86.1</v>
      </c>
      <c r="J114" s="23">
        <f>D114*G114</f>
        <v>0</v>
      </c>
      <c r="K114" s="18">
        <f t="shared" si="23"/>
        <v>86.1</v>
      </c>
    </row>
    <row r="115" spans="1:11">
      <c r="A115" s="6">
        <v>102</v>
      </c>
      <c r="B115" s="15" t="s">
        <v>28</v>
      </c>
      <c r="C115" s="7" t="s">
        <v>13</v>
      </c>
      <c r="D115" s="68">
        <v>7</v>
      </c>
      <c r="E115" s="22"/>
      <c r="F115" s="18">
        <v>24</v>
      </c>
      <c r="G115" s="19"/>
      <c r="H115" s="18">
        <f>D115*E115</f>
        <v>0</v>
      </c>
      <c r="I115" s="18">
        <f>D115*F115</f>
        <v>168</v>
      </c>
      <c r="J115" s="23">
        <f>D115*G115</f>
        <v>0</v>
      </c>
      <c r="K115" s="18">
        <f t="shared" si="23"/>
        <v>168</v>
      </c>
    </row>
    <row r="116" spans="1:11">
      <c r="A116" s="6">
        <v>103</v>
      </c>
      <c r="B116" s="15" t="s">
        <v>146</v>
      </c>
      <c r="C116" s="7" t="s">
        <v>11</v>
      </c>
      <c r="D116" s="69">
        <v>33</v>
      </c>
      <c r="E116" s="19"/>
      <c r="F116" s="19">
        <v>0.65</v>
      </c>
      <c r="G116" s="19"/>
      <c r="H116" s="18">
        <f t="shared" si="20"/>
        <v>0</v>
      </c>
      <c r="I116" s="18">
        <f t="shared" si="21"/>
        <v>21.45</v>
      </c>
      <c r="J116" s="23">
        <f t="shared" si="22"/>
        <v>0</v>
      </c>
      <c r="K116" s="18">
        <f t="shared" si="23"/>
        <v>21.45</v>
      </c>
    </row>
    <row r="117" spans="1:11">
      <c r="A117" s="6">
        <v>104</v>
      </c>
      <c r="B117" s="27" t="s">
        <v>29</v>
      </c>
      <c r="C117" s="29" t="s">
        <v>6</v>
      </c>
      <c r="D117" s="69">
        <v>70</v>
      </c>
      <c r="E117" s="19"/>
      <c r="F117" s="18">
        <v>0.1</v>
      </c>
      <c r="G117" s="19"/>
      <c r="H117" s="18">
        <f t="shared" si="20"/>
        <v>0</v>
      </c>
      <c r="I117" s="18">
        <f t="shared" si="21"/>
        <v>7</v>
      </c>
      <c r="J117" s="23">
        <f t="shared" si="22"/>
        <v>0</v>
      </c>
      <c r="K117" s="18">
        <f t="shared" si="23"/>
        <v>7</v>
      </c>
    </row>
    <row r="118" spans="1:11">
      <c r="A118" s="6">
        <v>105</v>
      </c>
      <c r="B118" s="28" t="s">
        <v>52</v>
      </c>
      <c r="C118" s="29" t="s">
        <v>6</v>
      </c>
      <c r="D118" s="68">
        <v>33.75</v>
      </c>
      <c r="E118" s="19">
        <v>1.43</v>
      </c>
      <c r="F118" s="19"/>
      <c r="G118" s="19">
        <v>0.2</v>
      </c>
      <c r="H118" s="18">
        <f t="shared" si="20"/>
        <v>48.262499999999996</v>
      </c>
      <c r="I118" s="18">
        <f t="shared" si="21"/>
        <v>0</v>
      </c>
      <c r="J118" s="23">
        <f t="shared" si="22"/>
        <v>6.75</v>
      </c>
      <c r="K118" s="18">
        <f t="shared" si="23"/>
        <v>55.012499999999996</v>
      </c>
    </row>
    <row r="119" spans="1:11">
      <c r="A119" s="6">
        <v>106</v>
      </c>
      <c r="B119" s="15" t="s">
        <v>50</v>
      </c>
      <c r="C119" s="7" t="s">
        <v>47</v>
      </c>
      <c r="D119" s="69">
        <v>68</v>
      </c>
      <c r="E119" s="19"/>
      <c r="F119" s="19">
        <v>0.04</v>
      </c>
      <c r="G119" s="19"/>
      <c r="H119" s="18">
        <f t="shared" si="20"/>
        <v>0</v>
      </c>
      <c r="I119" s="18">
        <f t="shared" si="21"/>
        <v>2.72</v>
      </c>
      <c r="J119" s="23">
        <f t="shared" si="22"/>
        <v>0</v>
      </c>
      <c r="K119" s="18">
        <f t="shared" si="23"/>
        <v>2.72</v>
      </c>
    </row>
    <row r="120" spans="1:11">
      <c r="A120" s="6">
        <v>107</v>
      </c>
      <c r="B120" s="15" t="s">
        <v>51</v>
      </c>
      <c r="C120" s="7" t="s">
        <v>13</v>
      </c>
      <c r="D120" s="69">
        <v>1.7</v>
      </c>
      <c r="E120" s="19"/>
      <c r="F120" s="18">
        <v>4.8</v>
      </c>
      <c r="G120" s="19"/>
      <c r="H120" s="18">
        <f t="shared" si="20"/>
        <v>0</v>
      </c>
      <c r="I120" s="18">
        <f t="shared" si="21"/>
        <v>8.16</v>
      </c>
      <c r="J120" s="23">
        <f t="shared" si="22"/>
        <v>0</v>
      </c>
      <c r="K120" s="18">
        <f t="shared" si="23"/>
        <v>8.16</v>
      </c>
    </row>
    <row r="121" spans="1:11">
      <c r="A121" s="6">
        <v>108</v>
      </c>
      <c r="B121" s="15" t="s">
        <v>53</v>
      </c>
      <c r="C121" s="29" t="s">
        <v>6</v>
      </c>
      <c r="D121" s="69">
        <v>35</v>
      </c>
      <c r="E121" s="19"/>
      <c r="F121" s="19">
        <v>1.1200000000000001</v>
      </c>
      <c r="G121" s="19">
        <v>0.11</v>
      </c>
      <c r="H121" s="18">
        <f t="shared" si="20"/>
        <v>0</v>
      </c>
      <c r="I121" s="18">
        <f t="shared" si="21"/>
        <v>39.200000000000003</v>
      </c>
      <c r="J121" s="23">
        <f t="shared" si="22"/>
        <v>3.85</v>
      </c>
      <c r="K121" s="18">
        <f t="shared" si="23"/>
        <v>43.050000000000004</v>
      </c>
    </row>
    <row r="122" spans="1:11">
      <c r="A122" s="6">
        <v>109</v>
      </c>
      <c r="B122" s="28" t="s">
        <v>22</v>
      </c>
      <c r="C122" s="29" t="s">
        <v>6</v>
      </c>
      <c r="D122" s="68">
        <v>35</v>
      </c>
      <c r="E122" s="19">
        <v>1.3</v>
      </c>
      <c r="F122" s="19"/>
      <c r="G122" s="19">
        <v>0.13</v>
      </c>
      <c r="H122" s="18">
        <f t="shared" si="20"/>
        <v>45.5</v>
      </c>
      <c r="I122" s="18">
        <f t="shared" si="21"/>
        <v>0</v>
      </c>
      <c r="J122" s="23">
        <f t="shared" si="22"/>
        <v>4.55</v>
      </c>
      <c r="K122" s="18">
        <f t="shared" si="23"/>
        <v>50.05</v>
      </c>
    </row>
    <row r="123" spans="1:11">
      <c r="A123" s="6">
        <v>110</v>
      </c>
      <c r="B123" s="27" t="s">
        <v>25</v>
      </c>
      <c r="C123" s="7" t="s">
        <v>13</v>
      </c>
      <c r="D123" s="69">
        <v>34</v>
      </c>
      <c r="E123" s="19"/>
      <c r="F123" s="19">
        <v>77</v>
      </c>
      <c r="G123" s="19"/>
      <c r="H123" s="18">
        <f t="shared" si="20"/>
        <v>0</v>
      </c>
      <c r="I123" s="18">
        <f t="shared" si="21"/>
        <v>2618</v>
      </c>
      <c r="J123" s="23">
        <f t="shared" si="22"/>
        <v>0</v>
      </c>
      <c r="K123" s="18">
        <f t="shared" si="23"/>
        <v>2618</v>
      </c>
    </row>
    <row r="124" spans="1:11">
      <c r="A124" s="6">
        <v>111</v>
      </c>
      <c r="B124" s="27" t="s">
        <v>54</v>
      </c>
      <c r="C124" s="29" t="s">
        <v>6</v>
      </c>
      <c r="D124" s="68">
        <v>40</v>
      </c>
      <c r="E124" s="19"/>
      <c r="F124" s="19">
        <v>3.25</v>
      </c>
      <c r="G124" s="19"/>
      <c r="H124" s="18">
        <f t="shared" si="20"/>
        <v>0</v>
      </c>
      <c r="I124" s="18">
        <f t="shared" si="21"/>
        <v>130</v>
      </c>
      <c r="J124" s="23">
        <f t="shared" si="22"/>
        <v>0</v>
      </c>
      <c r="K124" s="18">
        <f t="shared" si="23"/>
        <v>130</v>
      </c>
    </row>
    <row r="125" spans="1:11">
      <c r="A125" s="6">
        <v>112</v>
      </c>
      <c r="B125" s="27" t="s">
        <v>55</v>
      </c>
      <c r="C125" s="7" t="s">
        <v>47</v>
      </c>
      <c r="D125" s="68">
        <v>35</v>
      </c>
      <c r="E125" s="19"/>
      <c r="F125" s="19">
        <v>0.34</v>
      </c>
      <c r="G125" s="19"/>
      <c r="H125" s="18">
        <f t="shared" si="20"/>
        <v>0</v>
      </c>
      <c r="I125" s="18">
        <f t="shared" si="21"/>
        <v>11.9</v>
      </c>
      <c r="J125" s="23">
        <f t="shared" si="22"/>
        <v>0</v>
      </c>
      <c r="K125" s="18">
        <f t="shared" si="23"/>
        <v>11.9</v>
      </c>
    </row>
    <row r="126" spans="1:11">
      <c r="A126" s="6">
        <v>113</v>
      </c>
      <c r="B126" s="27" t="s">
        <v>148</v>
      </c>
      <c r="C126" s="7" t="s">
        <v>47</v>
      </c>
      <c r="D126" s="68">
        <v>20</v>
      </c>
      <c r="E126" s="19"/>
      <c r="F126" s="19">
        <v>0.48</v>
      </c>
      <c r="G126" s="19"/>
      <c r="H126" s="18">
        <f>D126*E126</f>
        <v>0</v>
      </c>
      <c r="I126" s="18">
        <f>D126*F126</f>
        <v>9.6</v>
      </c>
      <c r="J126" s="23">
        <f>D126*G126</f>
        <v>0</v>
      </c>
      <c r="K126" s="18">
        <f t="shared" si="23"/>
        <v>9.6</v>
      </c>
    </row>
    <row r="127" spans="1:11">
      <c r="A127" s="6">
        <v>114</v>
      </c>
      <c r="B127" s="28" t="s">
        <v>56</v>
      </c>
      <c r="C127" s="29" t="s">
        <v>6</v>
      </c>
      <c r="D127" s="68">
        <v>34</v>
      </c>
      <c r="E127" s="19">
        <v>5.4</v>
      </c>
      <c r="F127" s="19"/>
      <c r="G127" s="19">
        <v>0.45</v>
      </c>
      <c r="H127" s="18">
        <f t="shared" si="20"/>
        <v>183.60000000000002</v>
      </c>
      <c r="I127" s="18">
        <f t="shared" si="21"/>
        <v>0</v>
      </c>
      <c r="J127" s="23">
        <f t="shared" si="22"/>
        <v>15.3</v>
      </c>
      <c r="K127" s="18">
        <f t="shared" si="23"/>
        <v>198.90000000000003</v>
      </c>
    </row>
    <row r="128" spans="1:11">
      <c r="A128" s="6">
        <v>115</v>
      </c>
      <c r="B128" s="27" t="s">
        <v>57</v>
      </c>
      <c r="C128" s="29" t="s">
        <v>6</v>
      </c>
      <c r="D128" s="68">
        <v>36</v>
      </c>
      <c r="E128" s="19"/>
      <c r="F128" s="19">
        <v>6.5</v>
      </c>
      <c r="G128" s="19"/>
      <c r="H128" s="18">
        <f t="shared" si="20"/>
        <v>0</v>
      </c>
      <c r="I128" s="18">
        <f t="shared" si="21"/>
        <v>234</v>
      </c>
      <c r="J128" s="23">
        <f t="shared" si="22"/>
        <v>0</v>
      </c>
      <c r="K128" s="18">
        <f t="shared" si="23"/>
        <v>234</v>
      </c>
    </row>
    <row r="129" spans="1:11">
      <c r="A129" s="6">
        <v>116</v>
      </c>
      <c r="B129" s="27" t="s">
        <v>58</v>
      </c>
      <c r="C129" s="7" t="s">
        <v>47</v>
      </c>
      <c r="D129" s="68">
        <v>140</v>
      </c>
      <c r="E129" s="19"/>
      <c r="F129" s="19">
        <v>0.23</v>
      </c>
      <c r="G129" s="19"/>
      <c r="H129" s="18">
        <f t="shared" si="20"/>
        <v>0</v>
      </c>
      <c r="I129" s="18">
        <f t="shared" si="21"/>
        <v>32.200000000000003</v>
      </c>
      <c r="J129" s="23">
        <f t="shared" si="22"/>
        <v>0</v>
      </c>
      <c r="K129" s="18">
        <f t="shared" si="23"/>
        <v>32.200000000000003</v>
      </c>
    </row>
    <row r="130" spans="1:11">
      <c r="A130" s="6">
        <v>117</v>
      </c>
      <c r="B130" s="27" t="s">
        <v>59</v>
      </c>
      <c r="C130" s="7" t="s">
        <v>47</v>
      </c>
      <c r="D130" s="68">
        <v>68</v>
      </c>
      <c r="E130" s="19"/>
      <c r="F130" s="19">
        <v>0.05</v>
      </c>
      <c r="G130" s="19"/>
      <c r="H130" s="18">
        <f t="shared" si="20"/>
        <v>0</v>
      </c>
      <c r="I130" s="18">
        <f t="shared" si="21"/>
        <v>3.4000000000000004</v>
      </c>
      <c r="J130" s="23">
        <f t="shared" si="22"/>
        <v>0</v>
      </c>
      <c r="K130" s="18">
        <f t="shared" si="23"/>
        <v>3.4000000000000004</v>
      </c>
    </row>
    <row r="131" spans="1:11">
      <c r="A131" s="6">
        <v>118</v>
      </c>
      <c r="B131" s="28" t="s">
        <v>155</v>
      </c>
      <c r="C131" s="7" t="s">
        <v>6</v>
      </c>
      <c r="D131" s="68">
        <v>22</v>
      </c>
      <c r="E131" s="19">
        <v>3.2</v>
      </c>
      <c r="F131" s="19"/>
      <c r="G131" s="19">
        <v>0.32</v>
      </c>
      <c r="H131" s="18">
        <f t="shared" ref="H131:H143" si="24">D131*E131</f>
        <v>70.400000000000006</v>
      </c>
      <c r="I131" s="18">
        <f t="shared" ref="I131:I143" si="25">D131*F131</f>
        <v>0</v>
      </c>
      <c r="J131" s="23">
        <f t="shared" ref="J131:J143" si="26">D131*G131</f>
        <v>7.04</v>
      </c>
      <c r="K131" s="18">
        <f t="shared" ref="K131:K143" si="27">H131+I131+J131</f>
        <v>77.440000000000012</v>
      </c>
    </row>
    <row r="132" spans="1:11">
      <c r="A132" s="6">
        <v>119</v>
      </c>
      <c r="B132" s="27" t="s">
        <v>27</v>
      </c>
      <c r="C132" s="7" t="s">
        <v>13</v>
      </c>
      <c r="D132" s="68">
        <v>1.4</v>
      </c>
      <c r="E132" s="19"/>
      <c r="F132" s="19">
        <v>79</v>
      </c>
      <c r="G132" s="19"/>
      <c r="H132" s="18">
        <f t="shared" si="24"/>
        <v>0</v>
      </c>
      <c r="I132" s="18">
        <f t="shared" si="25"/>
        <v>110.6</v>
      </c>
      <c r="J132" s="23">
        <f t="shared" si="26"/>
        <v>0</v>
      </c>
      <c r="K132" s="18">
        <f t="shared" si="27"/>
        <v>110.6</v>
      </c>
    </row>
    <row r="133" spans="1:11">
      <c r="A133" s="6">
        <v>120</v>
      </c>
      <c r="B133" s="27" t="s">
        <v>133</v>
      </c>
      <c r="C133" s="7" t="s">
        <v>6</v>
      </c>
      <c r="D133" s="68">
        <v>23</v>
      </c>
      <c r="E133" s="22"/>
      <c r="F133" s="18">
        <v>3.77</v>
      </c>
      <c r="G133" s="19"/>
      <c r="H133" s="18">
        <f t="shared" si="24"/>
        <v>0</v>
      </c>
      <c r="I133" s="18">
        <f t="shared" si="25"/>
        <v>86.71</v>
      </c>
      <c r="J133" s="23">
        <f t="shared" si="26"/>
        <v>0</v>
      </c>
      <c r="K133" s="18">
        <f t="shared" si="27"/>
        <v>86.71</v>
      </c>
    </row>
    <row r="134" spans="1:11">
      <c r="A134" s="6">
        <v>121</v>
      </c>
      <c r="B134" s="27" t="s">
        <v>149</v>
      </c>
      <c r="C134" s="29" t="s">
        <v>11</v>
      </c>
      <c r="D134" s="68">
        <v>22</v>
      </c>
      <c r="E134" s="19"/>
      <c r="F134" s="19">
        <v>0.65</v>
      </c>
      <c r="G134" s="19"/>
      <c r="H134" s="18">
        <f t="shared" si="24"/>
        <v>0</v>
      </c>
      <c r="I134" s="18">
        <f t="shared" si="25"/>
        <v>14.3</v>
      </c>
      <c r="J134" s="23">
        <f t="shared" si="26"/>
        <v>0</v>
      </c>
      <c r="K134" s="18">
        <f t="shared" si="27"/>
        <v>14.3</v>
      </c>
    </row>
    <row r="135" spans="1:11">
      <c r="A135" s="6">
        <v>122</v>
      </c>
      <c r="B135" s="27" t="s">
        <v>29</v>
      </c>
      <c r="C135" s="29" t="s">
        <v>6</v>
      </c>
      <c r="D135" s="68">
        <v>25</v>
      </c>
      <c r="E135" s="19"/>
      <c r="F135" s="19">
        <v>0.1</v>
      </c>
      <c r="G135" s="19"/>
      <c r="H135" s="18">
        <f t="shared" si="24"/>
        <v>0</v>
      </c>
      <c r="I135" s="18">
        <f t="shared" si="25"/>
        <v>2.5</v>
      </c>
      <c r="J135" s="23">
        <f t="shared" si="26"/>
        <v>0</v>
      </c>
      <c r="K135" s="18">
        <f t="shared" si="27"/>
        <v>2.5</v>
      </c>
    </row>
    <row r="136" spans="1:11">
      <c r="A136" s="6">
        <v>123</v>
      </c>
      <c r="B136" s="28" t="s">
        <v>198</v>
      </c>
      <c r="C136" s="29" t="s">
        <v>6</v>
      </c>
      <c r="D136" s="68">
        <v>22</v>
      </c>
      <c r="E136" s="19">
        <v>1.3</v>
      </c>
      <c r="F136" s="19"/>
      <c r="G136" s="19">
        <v>0.13</v>
      </c>
      <c r="H136" s="18">
        <f t="shared" si="24"/>
        <v>28.6</v>
      </c>
      <c r="I136" s="18">
        <f t="shared" si="25"/>
        <v>0</v>
      </c>
      <c r="J136" s="23">
        <f t="shared" si="26"/>
        <v>2.8600000000000003</v>
      </c>
      <c r="K136" s="18">
        <f t="shared" si="27"/>
        <v>31.46</v>
      </c>
    </row>
    <row r="137" spans="1:11">
      <c r="A137" s="6">
        <v>124</v>
      </c>
      <c r="B137" s="27" t="s">
        <v>25</v>
      </c>
      <c r="C137" s="7" t="s">
        <v>13</v>
      </c>
      <c r="D137" s="68">
        <v>6.6</v>
      </c>
      <c r="E137" s="19"/>
      <c r="F137" s="19">
        <v>77</v>
      </c>
      <c r="G137" s="19"/>
      <c r="H137" s="18">
        <f t="shared" si="24"/>
        <v>0</v>
      </c>
      <c r="I137" s="18">
        <f t="shared" si="25"/>
        <v>508.2</v>
      </c>
      <c r="J137" s="23">
        <f t="shared" si="26"/>
        <v>0</v>
      </c>
      <c r="K137" s="18">
        <f t="shared" si="27"/>
        <v>508.2</v>
      </c>
    </row>
    <row r="138" spans="1:11">
      <c r="A138" s="6">
        <v>125</v>
      </c>
      <c r="B138" s="27" t="s">
        <v>54</v>
      </c>
      <c r="C138" s="29" t="s">
        <v>6</v>
      </c>
      <c r="D138" s="68">
        <v>25</v>
      </c>
      <c r="E138" s="19"/>
      <c r="F138" s="19">
        <v>3.25</v>
      </c>
      <c r="G138" s="19"/>
      <c r="H138" s="18">
        <f t="shared" si="24"/>
        <v>0</v>
      </c>
      <c r="I138" s="18">
        <f t="shared" si="25"/>
        <v>81.25</v>
      </c>
      <c r="J138" s="23">
        <f t="shared" si="26"/>
        <v>0</v>
      </c>
      <c r="K138" s="18">
        <f t="shared" si="27"/>
        <v>81.25</v>
      </c>
    </row>
    <row r="139" spans="1:11">
      <c r="A139" s="6">
        <v>126</v>
      </c>
      <c r="B139" s="27" t="s">
        <v>55</v>
      </c>
      <c r="C139" s="7" t="s">
        <v>47</v>
      </c>
      <c r="D139" s="68">
        <v>22</v>
      </c>
      <c r="E139" s="19"/>
      <c r="F139" s="19">
        <v>0.34</v>
      </c>
      <c r="G139" s="19"/>
      <c r="H139" s="18">
        <f t="shared" si="24"/>
        <v>0</v>
      </c>
      <c r="I139" s="18">
        <f t="shared" si="25"/>
        <v>7.48</v>
      </c>
      <c r="J139" s="23">
        <f t="shared" si="26"/>
        <v>0</v>
      </c>
      <c r="K139" s="18">
        <f t="shared" si="27"/>
        <v>7.48</v>
      </c>
    </row>
    <row r="140" spans="1:11">
      <c r="A140" s="6">
        <v>127</v>
      </c>
      <c r="B140" s="28" t="s">
        <v>169</v>
      </c>
      <c r="C140" s="29" t="s">
        <v>6</v>
      </c>
      <c r="D140" s="68">
        <v>22</v>
      </c>
      <c r="E140" s="19">
        <v>5.4</v>
      </c>
      <c r="F140" s="19"/>
      <c r="G140" s="19">
        <v>0.5</v>
      </c>
      <c r="H140" s="18">
        <f t="shared" si="24"/>
        <v>118.80000000000001</v>
      </c>
      <c r="I140" s="18">
        <f t="shared" si="25"/>
        <v>0</v>
      </c>
      <c r="J140" s="23">
        <f t="shared" si="26"/>
        <v>11</v>
      </c>
      <c r="K140" s="18">
        <f t="shared" si="27"/>
        <v>129.80000000000001</v>
      </c>
    </row>
    <row r="141" spans="1:11">
      <c r="A141" s="6">
        <v>128</v>
      </c>
      <c r="B141" s="27" t="s">
        <v>57</v>
      </c>
      <c r="C141" s="29" t="s">
        <v>6</v>
      </c>
      <c r="D141" s="68">
        <v>24</v>
      </c>
      <c r="E141" s="19"/>
      <c r="F141" s="19">
        <v>6.5</v>
      </c>
      <c r="G141" s="19"/>
      <c r="H141" s="18">
        <f t="shared" si="24"/>
        <v>0</v>
      </c>
      <c r="I141" s="18">
        <f t="shared" si="25"/>
        <v>156</v>
      </c>
      <c r="J141" s="23">
        <f t="shared" si="26"/>
        <v>0</v>
      </c>
      <c r="K141" s="18">
        <f t="shared" si="27"/>
        <v>156</v>
      </c>
    </row>
    <row r="142" spans="1:11">
      <c r="A142" s="6">
        <v>129</v>
      </c>
      <c r="B142" s="27" t="s">
        <v>58</v>
      </c>
      <c r="C142" s="7" t="s">
        <v>47</v>
      </c>
      <c r="D142" s="68">
        <v>88</v>
      </c>
      <c r="E142" s="19"/>
      <c r="F142" s="19">
        <v>0.23</v>
      </c>
      <c r="G142" s="19"/>
      <c r="H142" s="18">
        <f t="shared" si="24"/>
        <v>0</v>
      </c>
      <c r="I142" s="18">
        <f t="shared" si="25"/>
        <v>20.240000000000002</v>
      </c>
      <c r="J142" s="23">
        <f t="shared" si="26"/>
        <v>0</v>
      </c>
      <c r="K142" s="18">
        <f t="shared" si="27"/>
        <v>20.240000000000002</v>
      </c>
    </row>
    <row r="143" spans="1:11">
      <c r="A143" s="6">
        <v>130</v>
      </c>
      <c r="B143" s="27" t="s">
        <v>59</v>
      </c>
      <c r="C143" s="7" t="s">
        <v>47</v>
      </c>
      <c r="D143" s="68">
        <v>22</v>
      </c>
      <c r="E143" s="19"/>
      <c r="F143" s="19">
        <v>0.05</v>
      </c>
      <c r="G143" s="19"/>
      <c r="H143" s="18">
        <f t="shared" si="24"/>
        <v>0</v>
      </c>
      <c r="I143" s="18">
        <f t="shared" si="25"/>
        <v>1.1000000000000001</v>
      </c>
      <c r="J143" s="23">
        <f t="shared" si="26"/>
        <v>0</v>
      </c>
      <c r="K143" s="18">
        <f t="shared" si="27"/>
        <v>1.1000000000000001</v>
      </c>
    </row>
    <row r="144" spans="1:11">
      <c r="A144" s="6">
        <v>131</v>
      </c>
      <c r="B144" s="28" t="s">
        <v>78</v>
      </c>
      <c r="C144" s="7" t="s">
        <v>6</v>
      </c>
      <c r="D144" s="68">
        <v>11.73</v>
      </c>
      <c r="E144" s="19">
        <v>3.2</v>
      </c>
      <c r="F144" s="19"/>
      <c r="G144" s="19">
        <v>0.32</v>
      </c>
      <c r="H144" s="18">
        <f t="shared" si="20"/>
        <v>37.536000000000001</v>
      </c>
      <c r="I144" s="18">
        <f t="shared" si="21"/>
        <v>0</v>
      </c>
      <c r="J144" s="23">
        <f t="shared" si="22"/>
        <v>3.7536</v>
      </c>
      <c r="K144" s="18">
        <f t="shared" ref="K144:K167" si="28">H144+I144+J144</f>
        <v>41.2896</v>
      </c>
    </row>
    <row r="145" spans="1:11">
      <c r="A145" s="6">
        <v>132</v>
      </c>
      <c r="B145" s="27" t="s">
        <v>27</v>
      </c>
      <c r="C145" s="7" t="s">
        <v>13</v>
      </c>
      <c r="D145" s="68">
        <v>0.7</v>
      </c>
      <c r="E145" s="19"/>
      <c r="F145" s="19">
        <v>79</v>
      </c>
      <c r="G145" s="19"/>
      <c r="H145" s="18">
        <f t="shared" si="20"/>
        <v>0</v>
      </c>
      <c r="I145" s="18">
        <f t="shared" si="21"/>
        <v>55.3</v>
      </c>
      <c r="J145" s="23">
        <f t="shared" si="22"/>
        <v>0</v>
      </c>
      <c r="K145" s="18">
        <f t="shared" si="28"/>
        <v>55.3</v>
      </c>
    </row>
    <row r="146" spans="1:11">
      <c r="A146" s="6">
        <v>133</v>
      </c>
      <c r="B146" s="27" t="s">
        <v>133</v>
      </c>
      <c r="C146" s="7" t="s">
        <v>6</v>
      </c>
      <c r="D146" s="68">
        <v>12</v>
      </c>
      <c r="E146" s="22"/>
      <c r="F146" s="18">
        <v>3.77</v>
      </c>
      <c r="G146" s="19"/>
      <c r="H146" s="18">
        <f t="shared" si="20"/>
        <v>0</v>
      </c>
      <c r="I146" s="18">
        <f t="shared" si="21"/>
        <v>45.24</v>
      </c>
      <c r="J146" s="23">
        <f t="shared" si="22"/>
        <v>0</v>
      </c>
      <c r="K146" s="18">
        <f t="shared" si="28"/>
        <v>45.24</v>
      </c>
    </row>
    <row r="147" spans="1:11">
      <c r="A147" s="6">
        <v>134</v>
      </c>
      <c r="B147" s="27" t="s">
        <v>149</v>
      </c>
      <c r="C147" s="29" t="s">
        <v>11</v>
      </c>
      <c r="D147" s="68">
        <v>12</v>
      </c>
      <c r="E147" s="19"/>
      <c r="F147" s="19">
        <v>0.65</v>
      </c>
      <c r="G147" s="19"/>
      <c r="H147" s="18">
        <f t="shared" si="20"/>
        <v>0</v>
      </c>
      <c r="I147" s="18">
        <f t="shared" si="21"/>
        <v>7.8000000000000007</v>
      </c>
      <c r="J147" s="23">
        <f t="shared" si="22"/>
        <v>0</v>
      </c>
      <c r="K147" s="18">
        <f t="shared" si="28"/>
        <v>7.8000000000000007</v>
      </c>
    </row>
    <row r="148" spans="1:11">
      <c r="A148" s="6">
        <v>135</v>
      </c>
      <c r="B148" s="27" t="s">
        <v>29</v>
      </c>
      <c r="C148" s="29" t="s">
        <v>6</v>
      </c>
      <c r="D148" s="68">
        <v>13</v>
      </c>
      <c r="E148" s="19"/>
      <c r="F148" s="19">
        <v>0.1</v>
      </c>
      <c r="G148" s="19"/>
      <c r="H148" s="18">
        <f t="shared" si="20"/>
        <v>0</v>
      </c>
      <c r="I148" s="18">
        <f t="shared" si="21"/>
        <v>1.3</v>
      </c>
      <c r="J148" s="23">
        <f t="shared" si="22"/>
        <v>0</v>
      </c>
      <c r="K148" s="18">
        <f t="shared" si="28"/>
        <v>1.3</v>
      </c>
    </row>
    <row r="149" spans="1:11">
      <c r="A149" s="6">
        <v>136</v>
      </c>
      <c r="B149" s="28" t="s">
        <v>52</v>
      </c>
      <c r="C149" s="29" t="s">
        <v>6</v>
      </c>
      <c r="D149" s="68">
        <v>11.73</v>
      </c>
      <c r="E149" s="19">
        <v>1.6</v>
      </c>
      <c r="F149" s="19"/>
      <c r="G149" s="19">
        <v>0.2</v>
      </c>
      <c r="H149" s="18">
        <f t="shared" si="20"/>
        <v>18.768000000000001</v>
      </c>
      <c r="I149" s="18">
        <f t="shared" si="21"/>
        <v>0</v>
      </c>
      <c r="J149" s="23">
        <f t="shared" si="22"/>
        <v>2.3460000000000001</v>
      </c>
      <c r="K149" s="18">
        <f t="shared" si="28"/>
        <v>21.114000000000001</v>
      </c>
    </row>
    <row r="150" spans="1:11">
      <c r="A150" s="6">
        <v>137</v>
      </c>
      <c r="B150" s="15" t="s">
        <v>50</v>
      </c>
      <c r="C150" s="7" t="s">
        <v>47</v>
      </c>
      <c r="D150" s="68">
        <v>40</v>
      </c>
      <c r="E150" s="19"/>
      <c r="F150" s="19">
        <v>0.04</v>
      </c>
      <c r="G150" s="19"/>
      <c r="H150" s="18">
        <f t="shared" si="20"/>
        <v>0</v>
      </c>
      <c r="I150" s="18">
        <f t="shared" si="21"/>
        <v>1.6</v>
      </c>
      <c r="J150" s="23">
        <f t="shared" si="22"/>
        <v>0</v>
      </c>
      <c r="K150" s="18">
        <f t="shared" si="28"/>
        <v>1.6</v>
      </c>
    </row>
    <row r="151" spans="1:11">
      <c r="A151" s="6">
        <v>138</v>
      </c>
      <c r="B151" s="15" t="s">
        <v>51</v>
      </c>
      <c r="C151" s="7" t="s">
        <v>13</v>
      </c>
      <c r="D151" s="68">
        <v>0.72</v>
      </c>
      <c r="E151" s="19"/>
      <c r="F151" s="18">
        <v>4.8</v>
      </c>
      <c r="G151" s="19"/>
      <c r="H151" s="18">
        <f t="shared" si="20"/>
        <v>0</v>
      </c>
      <c r="I151" s="18">
        <f t="shared" si="21"/>
        <v>3.456</v>
      </c>
      <c r="J151" s="23">
        <f t="shared" si="22"/>
        <v>0</v>
      </c>
      <c r="K151" s="18">
        <f t="shared" si="28"/>
        <v>3.456</v>
      </c>
    </row>
    <row r="152" spans="1:11">
      <c r="A152" s="6">
        <v>139</v>
      </c>
      <c r="B152" s="15" t="s">
        <v>53</v>
      </c>
      <c r="C152" s="29" t="s">
        <v>6</v>
      </c>
      <c r="D152" s="68">
        <v>12</v>
      </c>
      <c r="E152" s="19"/>
      <c r="F152" s="19">
        <v>1.1200000000000001</v>
      </c>
      <c r="G152" s="19"/>
      <c r="H152" s="18">
        <f t="shared" si="20"/>
        <v>0</v>
      </c>
      <c r="I152" s="18">
        <f t="shared" si="21"/>
        <v>13.440000000000001</v>
      </c>
      <c r="J152" s="23">
        <f t="shared" si="22"/>
        <v>0</v>
      </c>
      <c r="K152" s="18">
        <f t="shared" si="28"/>
        <v>13.440000000000001</v>
      </c>
    </row>
    <row r="153" spans="1:11">
      <c r="A153" s="6">
        <v>140</v>
      </c>
      <c r="B153" s="28" t="s">
        <v>22</v>
      </c>
      <c r="C153" s="29" t="s">
        <v>6</v>
      </c>
      <c r="D153" s="68">
        <v>11.73</v>
      </c>
      <c r="E153" s="19">
        <v>1.3</v>
      </c>
      <c r="F153" s="19"/>
      <c r="G153" s="19">
        <v>0.13</v>
      </c>
      <c r="H153" s="18">
        <f t="shared" si="20"/>
        <v>15.249000000000001</v>
      </c>
      <c r="I153" s="18">
        <f t="shared" si="21"/>
        <v>0</v>
      </c>
      <c r="J153" s="23">
        <f t="shared" si="22"/>
        <v>1.5249000000000001</v>
      </c>
      <c r="K153" s="18">
        <f t="shared" si="28"/>
        <v>16.773900000000001</v>
      </c>
    </row>
    <row r="154" spans="1:11">
      <c r="A154" s="6">
        <v>141</v>
      </c>
      <c r="B154" s="27" t="s">
        <v>25</v>
      </c>
      <c r="C154" s="7" t="s">
        <v>13</v>
      </c>
      <c r="D154" s="68">
        <v>3.6</v>
      </c>
      <c r="E154" s="19"/>
      <c r="F154" s="19">
        <v>77</v>
      </c>
      <c r="G154" s="19"/>
      <c r="H154" s="18">
        <f t="shared" si="20"/>
        <v>0</v>
      </c>
      <c r="I154" s="18">
        <f t="shared" si="21"/>
        <v>277.2</v>
      </c>
      <c r="J154" s="23">
        <f t="shared" si="22"/>
        <v>0</v>
      </c>
      <c r="K154" s="18">
        <f t="shared" si="28"/>
        <v>277.2</v>
      </c>
    </row>
    <row r="155" spans="1:11">
      <c r="A155" s="6">
        <v>142</v>
      </c>
      <c r="B155" s="27" t="s">
        <v>54</v>
      </c>
      <c r="C155" s="29" t="s">
        <v>6</v>
      </c>
      <c r="D155" s="68">
        <v>15</v>
      </c>
      <c r="E155" s="19"/>
      <c r="F155" s="19">
        <v>3.25</v>
      </c>
      <c r="G155" s="19"/>
      <c r="H155" s="18">
        <f t="shared" si="20"/>
        <v>0</v>
      </c>
      <c r="I155" s="18">
        <f t="shared" si="21"/>
        <v>48.75</v>
      </c>
      <c r="J155" s="23">
        <f t="shared" si="22"/>
        <v>0</v>
      </c>
      <c r="K155" s="18">
        <f t="shared" si="28"/>
        <v>48.75</v>
      </c>
    </row>
    <row r="156" spans="1:11">
      <c r="A156" s="6">
        <v>143</v>
      </c>
      <c r="B156" s="27" t="s">
        <v>55</v>
      </c>
      <c r="C156" s="7" t="s">
        <v>47</v>
      </c>
      <c r="D156" s="68">
        <v>12</v>
      </c>
      <c r="E156" s="19"/>
      <c r="F156" s="19">
        <v>0.34</v>
      </c>
      <c r="G156" s="19"/>
      <c r="H156" s="18">
        <f t="shared" si="20"/>
        <v>0</v>
      </c>
      <c r="I156" s="18">
        <f t="shared" si="21"/>
        <v>4.08</v>
      </c>
      <c r="J156" s="23">
        <f t="shared" si="22"/>
        <v>0</v>
      </c>
      <c r="K156" s="18">
        <f t="shared" si="28"/>
        <v>4.08</v>
      </c>
    </row>
    <row r="157" spans="1:11">
      <c r="A157" s="6">
        <v>144</v>
      </c>
      <c r="B157" s="28" t="s">
        <v>79</v>
      </c>
      <c r="C157" s="29" t="s">
        <v>6</v>
      </c>
      <c r="D157" s="68">
        <v>11.73</v>
      </c>
      <c r="E157" s="19">
        <v>5.4</v>
      </c>
      <c r="F157" s="19"/>
      <c r="G157" s="19">
        <v>0.5</v>
      </c>
      <c r="H157" s="18">
        <f t="shared" si="20"/>
        <v>63.342000000000006</v>
      </c>
      <c r="I157" s="18">
        <f t="shared" si="21"/>
        <v>0</v>
      </c>
      <c r="J157" s="23">
        <f t="shared" si="22"/>
        <v>5.8650000000000002</v>
      </c>
      <c r="K157" s="18">
        <f t="shared" si="28"/>
        <v>69.207000000000008</v>
      </c>
    </row>
    <row r="158" spans="1:11">
      <c r="A158" s="6">
        <v>145</v>
      </c>
      <c r="B158" s="27" t="s">
        <v>57</v>
      </c>
      <c r="C158" s="29" t="s">
        <v>6</v>
      </c>
      <c r="D158" s="68">
        <v>13</v>
      </c>
      <c r="E158" s="19"/>
      <c r="F158" s="19">
        <v>6.5</v>
      </c>
      <c r="G158" s="19"/>
      <c r="H158" s="18">
        <f t="shared" si="20"/>
        <v>0</v>
      </c>
      <c r="I158" s="18">
        <f t="shared" si="21"/>
        <v>84.5</v>
      </c>
      <c r="J158" s="23">
        <f t="shared" si="22"/>
        <v>0</v>
      </c>
      <c r="K158" s="18">
        <f t="shared" si="28"/>
        <v>84.5</v>
      </c>
    </row>
    <row r="159" spans="1:11">
      <c r="A159" s="6">
        <v>146</v>
      </c>
      <c r="B159" s="27" t="s">
        <v>58</v>
      </c>
      <c r="C159" s="7" t="s">
        <v>47</v>
      </c>
      <c r="D159" s="68">
        <v>52</v>
      </c>
      <c r="E159" s="19"/>
      <c r="F159" s="19">
        <v>0.23</v>
      </c>
      <c r="G159" s="19"/>
      <c r="H159" s="18">
        <f t="shared" si="20"/>
        <v>0</v>
      </c>
      <c r="I159" s="18">
        <f t="shared" si="21"/>
        <v>11.96</v>
      </c>
      <c r="J159" s="23">
        <f t="shared" si="22"/>
        <v>0</v>
      </c>
      <c r="K159" s="18">
        <f t="shared" si="28"/>
        <v>11.96</v>
      </c>
    </row>
    <row r="160" spans="1:11">
      <c r="A160" s="6">
        <v>147</v>
      </c>
      <c r="B160" s="27" t="s">
        <v>59</v>
      </c>
      <c r="C160" s="7" t="s">
        <v>47</v>
      </c>
      <c r="D160" s="68">
        <v>25</v>
      </c>
      <c r="E160" s="19"/>
      <c r="F160" s="19">
        <v>0.05</v>
      </c>
      <c r="G160" s="19"/>
      <c r="H160" s="18">
        <f t="shared" si="20"/>
        <v>0</v>
      </c>
      <c r="I160" s="18">
        <f t="shared" si="21"/>
        <v>1.25</v>
      </c>
      <c r="J160" s="23">
        <f t="shared" si="22"/>
        <v>0</v>
      </c>
      <c r="K160" s="18">
        <f t="shared" si="28"/>
        <v>1.25</v>
      </c>
    </row>
    <row r="161" spans="1:13">
      <c r="A161" s="6">
        <v>148</v>
      </c>
      <c r="B161" s="28" t="s">
        <v>61</v>
      </c>
      <c r="C161" s="29" t="s">
        <v>114</v>
      </c>
      <c r="D161" s="68">
        <v>7.5</v>
      </c>
      <c r="E161" s="19">
        <v>2.6</v>
      </c>
      <c r="F161" s="19"/>
      <c r="G161" s="19">
        <v>0.34</v>
      </c>
      <c r="H161" s="18">
        <f t="shared" si="20"/>
        <v>19.5</v>
      </c>
      <c r="I161" s="18">
        <f t="shared" si="21"/>
        <v>0</v>
      </c>
      <c r="J161" s="23">
        <f t="shared" si="22"/>
        <v>2.5500000000000003</v>
      </c>
      <c r="K161" s="18">
        <f t="shared" si="28"/>
        <v>22.05</v>
      </c>
    </row>
    <row r="162" spans="1:13">
      <c r="A162" s="6">
        <v>149</v>
      </c>
      <c r="B162" s="27" t="s">
        <v>27</v>
      </c>
      <c r="C162" s="7" t="s">
        <v>13</v>
      </c>
      <c r="D162" s="68">
        <v>0.2</v>
      </c>
      <c r="E162" s="19"/>
      <c r="F162" s="19">
        <v>79</v>
      </c>
      <c r="G162" s="19"/>
      <c r="H162" s="18">
        <f t="shared" si="20"/>
        <v>0</v>
      </c>
      <c r="I162" s="18">
        <f t="shared" si="21"/>
        <v>15.8</v>
      </c>
      <c r="J162" s="23">
        <f t="shared" si="22"/>
        <v>0</v>
      </c>
      <c r="K162" s="18">
        <f t="shared" si="28"/>
        <v>15.8</v>
      </c>
    </row>
    <row r="163" spans="1:13">
      <c r="A163" s="6">
        <v>150</v>
      </c>
      <c r="B163" s="15" t="s">
        <v>36</v>
      </c>
      <c r="C163" s="7" t="s">
        <v>11</v>
      </c>
      <c r="D163" s="68">
        <v>8</v>
      </c>
      <c r="E163" s="19"/>
      <c r="F163" s="19">
        <v>1.2</v>
      </c>
      <c r="G163" s="19"/>
      <c r="H163" s="18">
        <f t="shared" si="20"/>
        <v>0</v>
      </c>
      <c r="I163" s="18">
        <f t="shared" si="21"/>
        <v>9.6</v>
      </c>
      <c r="J163" s="23">
        <f t="shared" si="22"/>
        <v>0</v>
      </c>
      <c r="K163" s="18">
        <f t="shared" si="28"/>
        <v>9.6</v>
      </c>
    </row>
    <row r="164" spans="1:13">
      <c r="A164" s="6">
        <v>151</v>
      </c>
      <c r="B164" s="15" t="s">
        <v>172</v>
      </c>
      <c r="C164" s="29" t="s">
        <v>114</v>
      </c>
      <c r="D164" s="68">
        <v>7.5</v>
      </c>
      <c r="E164" s="19"/>
      <c r="F164" s="19">
        <v>28</v>
      </c>
      <c r="G164" s="19"/>
      <c r="H164" s="18">
        <f>D164*E164</f>
        <v>0</v>
      </c>
      <c r="I164" s="18">
        <f>D164*F164</f>
        <v>210</v>
      </c>
      <c r="J164" s="23">
        <f>D164*G164</f>
        <v>0</v>
      </c>
      <c r="K164" s="18">
        <f t="shared" si="28"/>
        <v>210</v>
      </c>
    </row>
    <row r="165" spans="1:13">
      <c r="A165" s="6">
        <v>152</v>
      </c>
      <c r="B165" s="27" t="s">
        <v>62</v>
      </c>
      <c r="C165" s="7" t="s">
        <v>11</v>
      </c>
      <c r="D165" s="68">
        <v>8</v>
      </c>
      <c r="E165" s="19"/>
      <c r="F165" s="19">
        <v>5.2</v>
      </c>
      <c r="G165" s="19"/>
      <c r="H165" s="18">
        <f t="shared" si="20"/>
        <v>0</v>
      </c>
      <c r="I165" s="18">
        <f t="shared" si="21"/>
        <v>41.6</v>
      </c>
      <c r="J165" s="23">
        <f t="shared" si="22"/>
        <v>0</v>
      </c>
      <c r="K165" s="18">
        <f t="shared" si="28"/>
        <v>41.6</v>
      </c>
    </row>
    <row r="166" spans="1:13">
      <c r="A166" s="6">
        <v>153</v>
      </c>
      <c r="B166" s="28" t="s">
        <v>66</v>
      </c>
      <c r="C166" s="29" t="s">
        <v>114</v>
      </c>
      <c r="D166" s="68">
        <v>5.2</v>
      </c>
      <c r="E166" s="19">
        <v>6.2</v>
      </c>
      <c r="F166" s="19">
        <v>39</v>
      </c>
      <c r="G166" s="19">
        <v>2.36</v>
      </c>
      <c r="H166" s="18">
        <f t="shared" si="20"/>
        <v>32.24</v>
      </c>
      <c r="I166" s="18">
        <f t="shared" si="21"/>
        <v>202.8</v>
      </c>
      <c r="J166" s="23">
        <f t="shared" si="22"/>
        <v>12.272</v>
      </c>
      <c r="K166" s="18">
        <f t="shared" si="28"/>
        <v>247.31200000000001</v>
      </c>
    </row>
    <row r="167" spans="1:13">
      <c r="A167" s="6">
        <v>154</v>
      </c>
      <c r="B167" s="15" t="s">
        <v>36</v>
      </c>
      <c r="C167" s="7" t="s">
        <v>11</v>
      </c>
      <c r="D167" s="68">
        <v>11</v>
      </c>
      <c r="E167" s="19"/>
      <c r="F167" s="19"/>
      <c r="G167" s="19">
        <v>0.46</v>
      </c>
      <c r="H167" s="18">
        <f t="shared" si="20"/>
        <v>0</v>
      </c>
      <c r="I167" s="18">
        <f t="shared" si="21"/>
        <v>0</v>
      </c>
      <c r="J167" s="23">
        <f t="shared" si="22"/>
        <v>5.0600000000000005</v>
      </c>
      <c r="K167" s="18">
        <f t="shared" si="28"/>
        <v>5.0600000000000005</v>
      </c>
    </row>
    <row r="168" spans="1:13">
      <c r="A168" s="6">
        <v>155</v>
      </c>
      <c r="B168" s="28" t="s">
        <v>184</v>
      </c>
      <c r="C168" s="7" t="s">
        <v>11</v>
      </c>
      <c r="D168" s="68">
        <v>1</v>
      </c>
      <c r="E168" s="69">
        <v>310</v>
      </c>
      <c r="F168" s="19"/>
      <c r="G168" s="19"/>
      <c r="H168" s="18">
        <f t="shared" ref="H168:H173" si="29">D168*E168</f>
        <v>310</v>
      </c>
      <c r="I168" s="18">
        <f t="shared" ref="I168:I173" si="30">D168*F168</f>
        <v>0</v>
      </c>
      <c r="J168" s="23">
        <f t="shared" ref="J168:J173" si="31">D168*G168</f>
        <v>0</v>
      </c>
      <c r="K168" s="18">
        <f t="shared" ref="K168:M173" si="32">H168+I168+J168</f>
        <v>310</v>
      </c>
      <c r="M168" s="18">
        <f t="shared" si="32"/>
        <v>310</v>
      </c>
    </row>
    <row r="169" spans="1:13">
      <c r="A169" s="6">
        <v>156</v>
      </c>
      <c r="B169" s="27" t="s">
        <v>64</v>
      </c>
      <c r="C169" s="7" t="s">
        <v>11</v>
      </c>
      <c r="D169" s="68">
        <v>50</v>
      </c>
      <c r="E169" s="19"/>
      <c r="F169" s="19">
        <v>0.32</v>
      </c>
      <c r="G169" s="19"/>
      <c r="H169" s="18">
        <f t="shared" si="29"/>
        <v>0</v>
      </c>
      <c r="I169" s="18">
        <f t="shared" si="30"/>
        <v>16</v>
      </c>
      <c r="J169" s="23">
        <f t="shared" si="31"/>
        <v>0</v>
      </c>
      <c r="K169" s="18">
        <f t="shared" si="32"/>
        <v>16</v>
      </c>
      <c r="M169" s="18">
        <f t="shared" si="32"/>
        <v>16</v>
      </c>
    </row>
    <row r="170" spans="1:13">
      <c r="A170" s="6">
        <v>157</v>
      </c>
      <c r="B170" s="27" t="s">
        <v>186</v>
      </c>
      <c r="C170" s="7" t="s">
        <v>11</v>
      </c>
      <c r="D170" s="68">
        <v>250</v>
      </c>
      <c r="E170" s="19"/>
      <c r="F170" s="19">
        <v>0.11</v>
      </c>
      <c r="G170" s="19"/>
      <c r="H170" s="18">
        <f t="shared" si="29"/>
        <v>0</v>
      </c>
      <c r="I170" s="18">
        <f t="shared" si="30"/>
        <v>27.5</v>
      </c>
      <c r="J170" s="23">
        <f t="shared" si="31"/>
        <v>0</v>
      </c>
      <c r="K170" s="18">
        <f t="shared" si="32"/>
        <v>27.5</v>
      </c>
      <c r="M170" s="18">
        <f t="shared" si="32"/>
        <v>27.5</v>
      </c>
    </row>
    <row r="171" spans="1:13">
      <c r="A171" s="6">
        <v>158</v>
      </c>
      <c r="B171" s="28" t="s">
        <v>185</v>
      </c>
      <c r="C171" s="7" t="s">
        <v>11</v>
      </c>
      <c r="D171" s="68">
        <v>1</v>
      </c>
      <c r="E171" s="69">
        <v>230</v>
      </c>
      <c r="F171" s="19"/>
      <c r="G171" s="19"/>
      <c r="H171" s="18">
        <f t="shared" si="29"/>
        <v>230</v>
      </c>
      <c r="I171" s="18">
        <f t="shared" si="30"/>
        <v>0</v>
      </c>
      <c r="J171" s="23">
        <f t="shared" si="31"/>
        <v>0</v>
      </c>
      <c r="K171" s="18">
        <f t="shared" si="32"/>
        <v>230</v>
      </c>
      <c r="M171" s="18">
        <f t="shared" si="32"/>
        <v>230</v>
      </c>
    </row>
    <row r="172" spans="1:13">
      <c r="A172" s="6">
        <v>159</v>
      </c>
      <c r="B172" s="27" t="s">
        <v>186</v>
      </c>
      <c r="C172" s="7" t="s">
        <v>11</v>
      </c>
      <c r="D172" s="68">
        <v>320</v>
      </c>
      <c r="E172" s="19"/>
      <c r="F172" s="19">
        <v>0.11</v>
      </c>
      <c r="G172" s="19"/>
      <c r="H172" s="18">
        <f t="shared" si="29"/>
        <v>0</v>
      </c>
      <c r="I172" s="18">
        <f t="shared" si="30"/>
        <v>35.200000000000003</v>
      </c>
      <c r="J172" s="23">
        <f t="shared" si="31"/>
        <v>0</v>
      </c>
      <c r="K172" s="18">
        <f t="shared" si="32"/>
        <v>35.200000000000003</v>
      </c>
      <c r="M172" s="18">
        <f t="shared" si="32"/>
        <v>35.200000000000003</v>
      </c>
    </row>
    <row r="173" spans="1:13">
      <c r="A173" s="6">
        <v>160</v>
      </c>
      <c r="B173" s="27" t="s">
        <v>208</v>
      </c>
      <c r="C173" s="7" t="s">
        <v>11</v>
      </c>
      <c r="D173" s="68">
        <v>1</v>
      </c>
      <c r="E173" s="19"/>
      <c r="F173" s="19">
        <v>210</v>
      </c>
      <c r="G173" s="19"/>
      <c r="H173" s="18">
        <f t="shared" si="29"/>
        <v>0</v>
      </c>
      <c r="I173" s="18">
        <f t="shared" si="30"/>
        <v>210</v>
      </c>
      <c r="J173" s="23">
        <f t="shared" si="31"/>
        <v>0</v>
      </c>
      <c r="K173" s="18">
        <f t="shared" si="32"/>
        <v>210</v>
      </c>
      <c r="M173" s="18">
        <f t="shared" si="32"/>
        <v>210</v>
      </c>
    </row>
    <row r="174" spans="1:13">
      <c r="A174" s="6">
        <v>161</v>
      </c>
      <c r="B174" s="28" t="s">
        <v>183</v>
      </c>
      <c r="C174" s="7" t="s">
        <v>34</v>
      </c>
      <c r="D174" s="68">
        <v>12</v>
      </c>
      <c r="E174" s="19">
        <v>2.95</v>
      </c>
      <c r="F174" s="19"/>
      <c r="G174" s="19">
        <v>0.32</v>
      </c>
      <c r="H174" s="18">
        <f t="shared" si="20"/>
        <v>35.400000000000006</v>
      </c>
      <c r="I174" s="18">
        <f t="shared" si="21"/>
        <v>0</v>
      </c>
      <c r="J174" s="23">
        <f t="shared" si="22"/>
        <v>3.84</v>
      </c>
      <c r="K174" s="18">
        <f t="shared" ref="K174:K182" si="33">H174+I174+J174</f>
        <v>39.240000000000009</v>
      </c>
      <c r="M174" s="18">
        <f t="shared" ref="M174:M181" si="34">J174+K174+L174</f>
        <v>43.080000000000013</v>
      </c>
    </row>
    <row r="175" spans="1:13">
      <c r="A175" s="6">
        <v>162</v>
      </c>
      <c r="B175" s="27" t="s">
        <v>63</v>
      </c>
      <c r="C175" s="7" t="s">
        <v>11</v>
      </c>
      <c r="D175" s="68">
        <v>520</v>
      </c>
      <c r="E175" s="19"/>
      <c r="F175" s="19">
        <v>0.21</v>
      </c>
      <c r="G175" s="19"/>
      <c r="H175" s="18">
        <f t="shared" si="20"/>
        <v>0</v>
      </c>
      <c r="I175" s="18">
        <f t="shared" si="21"/>
        <v>109.2</v>
      </c>
      <c r="J175" s="23">
        <f t="shared" si="22"/>
        <v>0</v>
      </c>
      <c r="K175" s="18">
        <f t="shared" si="33"/>
        <v>109.2</v>
      </c>
      <c r="M175" s="18">
        <f t="shared" si="34"/>
        <v>109.2</v>
      </c>
    </row>
    <row r="176" spans="1:13">
      <c r="A176" s="6">
        <v>163</v>
      </c>
      <c r="B176" s="27" t="s">
        <v>64</v>
      </c>
      <c r="C176" s="7" t="s">
        <v>11</v>
      </c>
      <c r="D176" s="68">
        <v>460</v>
      </c>
      <c r="E176" s="19"/>
      <c r="F176" s="19">
        <v>0.32</v>
      </c>
      <c r="G176" s="19"/>
      <c r="H176" s="18">
        <f t="shared" si="20"/>
        <v>0</v>
      </c>
      <c r="I176" s="18">
        <f t="shared" si="21"/>
        <v>147.20000000000002</v>
      </c>
      <c r="J176" s="23">
        <f t="shared" si="22"/>
        <v>0</v>
      </c>
      <c r="K176" s="18">
        <f t="shared" si="33"/>
        <v>147.20000000000002</v>
      </c>
      <c r="M176" s="18">
        <f t="shared" si="34"/>
        <v>147.20000000000002</v>
      </c>
    </row>
    <row r="177" spans="1:13">
      <c r="A177" s="6">
        <v>164</v>
      </c>
      <c r="B177" s="27" t="s">
        <v>65</v>
      </c>
      <c r="C177" s="7" t="s">
        <v>11</v>
      </c>
      <c r="D177" s="68">
        <v>1</v>
      </c>
      <c r="E177" s="19"/>
      <c r="F177" s="19">
        <v>6.8</v>
      </c>
      <c r="G177" s="19"/>
      <c r="H177" s="18">
        <f t="shared" si="20"/>
        <v>0</v>
      </c>
      <c r="I177" s="18">
        <f t="shared" si="21"/>
        <v>6.8</v>
      </c>
      <c r="J177" s="23">
        <f t="shared" si="22"/>
        <v>0</v>
      </c>
      <c r="K177" s="18">
        <f t="shared" si="33"/>
        <v>6.8</v>
      </c>
      <c r="M177" s="18">
        <f t="shared" si="34"/>
        <v>6.8</v>
      </c>
    </row>
    <row r="178" spans="1:13">
      <c r="A178" s="6">
        <v>165</v>
      </c>
      <c r="B178" s="27" t="s">
        <v>182</v>
      </c>
      <c r="C178" s="7" t="s">
        <v>191</v>
      </c>
      <c r="D178" s="68">
        <v>2</v>
      </c>
      <c r="E178" s="19"/>
      <c r="F178" s="19">
        <v>22.5</v>
      </c>
      <c r="G178" s="19"/>
      <c r="H178" s="18">
        <f>D178*E178</f>
        <v>0</v>
      </c>
      <c r="I178" s="18">
        <f>D178*F178</f>
        <v>45</v>
      </c>
      <c r="J178" s="23">
        <f>D178*G178</f>
        <v>0</v>
      </c>
      <c r="K178" s="18">
        <f t="shared" si="33"/>
        <v>45</v>
      </c>
      <c r="M178" s="18">
        <f t="shared" si="34"/>
        <v>45</v>
      </c>
    </row>
    <row r="179" spans="1:13">
      <c r="A179" s="6">
        <v>166</v>
      </c>
      <c r="B179" s="27" t="s">
        <v>187</v>
      </c>
      <c r="C179" s="7" t="s">
        <v>189</v>
      </c>
      <c r="D179" s="68">
        <v>2</v>
      </c>
      <c r="E179" s="19"/>
      <c r="F179" s="19">
        <v>3</v>
      </c>
      <c r="G179" s="19"/>
      <c r="H179" s="18">
        <f>D179*E179</f>
        <v>0</v>
      </c>
      <c r="I179" s="18">
        <f>D179*F179</f>
        <v>6</v>
      </c>
      <c r="J179" s="23">
        <f>D179*G179</f>
        <v>0</v>
      </c>
      <c r="K179" s="18">
        <f t="shared" si="33"/>
        <v>6</v>
      </c>
      <c r="M179" s="18">
        <f t="shared" si="34"/>
        <v>6</v>
      </c>
    </row>
    <row r="180" spans="1:13">
      <c r="A180" s="6">
        <v>167</v>
      </c>
      <c r="B180" s="27" t="s">
        <v>188</v>
      </c>
      <c r="C180" s="7" t="s">
        <v>189</v>
      </c>
      <c r="D180" s="68">
        <v>1</v>
      </c>
      <c r="E180" s="19"/>
      <c r="F180" s="19">
        <v>46</v>
      </c>
      <c r="G180" s="19"/>
      <c r="H180" s="18">
        <f>D180*E180</f>
        <v>0</v>
      </c>
      <c r="I180" s="18">
        <f>D180*F180</f>
        <v>46</v>
      </c>
      <c r="J180" s="23">
        <f>D180*G180</f>
        <v>0</v>
      </c>
      <c r="K180" s="18">
        <f t="shared" si="33"/>
        <v>46</v>
      </c>
      <c r="M180" s="18">
        <f t="shared" si="34"/>
        <v>46</v>
      </c>
    </row>
    <row r="181" spans="1:13">
      <c r="A181" s="6">
        <v>168</v>
      </c>
      <c r="B181" s="27" t="s">
        <v>190</v>
      </c>
      <c r="C181" s="7" t="s">
        <v>191</v>
      </c>
      <c r="D181" s="68">
        <v>6</v>
      </c>
      <c r="E181" s="19"/>
      <c r="F181" s="19">
        <v>4.4800000000000004</v>
      </c>
      <c r="G181" s="19"/>
      <c r="H181" s="18">
        <f>D181*E181</f>
        <v>0</v>
      </c>
      <c r="I181" s="18">
        <f>D181*F181</f>
        <v>26.880000000000003</v>
      </c>
      <c r="J181" s="23">
        <f>D181*G181</f>
        <v>0</v>
      </c>
      <c r="K181" s="18">
        <f t="shared" si="33"/>
        <v>26.880000000000003</v>
      </c>
      <c r="M181" s="18">
        <f t="shared" si="34"/>
        <v>26.880000000000003</v>
      </c>
    </row>
    <row r="182" spans="1:13">
      <c r="A182" s="6">
        <v>169</v>
      </c>
      <c r="B182" s="28" t="s">
        <v>165</v>
      </c>
      <c r="C182" s="29" t="s">
        <v>6</v>
      </c>
      <c r="D182" s="68">
        <v>9</v>
      </c>
      <c r="E182" s="19">
        <v>0.9</v>
      </c>
      <c r="F182" s="19">
        <v>8</v>
      </c>
      <c r="G182" s="19">
        <v>0.03</v>
      </c>
      <c r="H182" s="18">
        <f t="shared" si="20"/>
        <v>8.1</v>
      </c>
      <c r="I182" s="18">
        <f t="shared" si="21"/>
        <v>72</v>
      </c>
      <c r="J182" s="23">
        <f t="shared" si="22"/>
        <v>0.27</v>
      </c>
      <c r="K182" s="18">
        <f t="shared" si="33"/>
        <v>80.36999999999999</v>
      </c>
      <c r="M182" s="46">
        <f>SUM(M168:M181)</f>
        <v>1258.8600000000001</v>
      </c>
    </row>
    <row r="183" spans="1:13">
      <c r="A183" s="6">
        <v>170</v>
      </c>
      <c r="B183" s="27" t="s">
        <v>166</v>
      </c>
      <c r="C183" s="29" t="s">
        <v>6</v>
      </c>
      <c r="D183" s="68">
        <v>22</v>
      </c>
      <c r="E183" s="19">
        <v>0.9</v>
      </c>
      <c r="F183" s="19">
        <v>6</v>
      </c>
      <c r="G183" s="19">
        <v>0.03</v>
      </c>
      <c r="H183" s="18">
        <f t="shared" ref="H183:H249" si="35">D183*E183</f>
        <v>19.8</v>
      </c>
      <c r="I183" s="18">
        <f t="shared" ref="I183:I249" si="36">D183*F183</f>
        <v>132</v>
      </c>
      <c r="J183" s="23">
        <f t="shared" ref="J183:J249" si="37">D183*G183</f>
        <v>0.65999999999999992</v>
      </c>
      <c r="K183" s="18">
        <f t="shared" ref="K183:K249" si="38">H183+I183+J183</f>
        <v>152.46</v>
      </c>
    </row>
    <row r="184" spans="1:13">
      <c r="A184" s="6">
        <v>171</v>
      </c>
      <c r="B184" s="27" t="s">
        <v>167</v>
      </c>
      <c r="C184" s="29" t="s">
        <v>6</v>
      </c>
      <c r="D184" s="68">
        <v>9.3000000000000007</v>
      </c>
      <c r="E184" s="19">
        <v>0.9</v>
      </c>
      <c r="F184" s="19">
        <v>6.55</v>
      </c>
      <c r="G184" s="19">
        <v>0.03</v>
      </c>
      <c r="H184" s="18">
        <f t="shared" si="35"/>
        <v>8.370000000000001</v>
      </c>
      <c r="I184" s="18">
        <f t="shared" si="36"/>
        <v>60.915000000000006</v>
      </c>
      <c r="J184" s="23">
        <f t="shared" si="37"/>
        <v>0.27900000000000003</v>
      </c>
      <c r="K184" s="18">
        <f t="shared" si="38"/>
        <v>69.564000000000007</v>
      </c>
    </row>
    <row r="185" spans="1:13">
      <c r="A185" s="6">
        <v>172</v>
      </c>
      <c r="B185" s="27" t="s">
        <v>168</v>
      </c>
      <c r="C185" s="29" t="s">
        <v>6</v>
      </c>
      <c r="D185" s="68">
        <v>6</v>
      </c>
      <c r="E185" s="19">
        <v>0.9</v>
      </c>
      <c r="F185" s="19">
        <v>12</v>
      </c>
      <c r="G185" s="19">
        <v>0.03</v>
      </c>
      <c r="H185" s="18">
        <f t="shared" si="35"/>
        <v>5.4</v>
      </c>
      <c r="I185" s="18">
        <f t="shared" si="36"/>
        <v>72</v>
      </c>
      <c r="J185" s="23">
        <f t="shared" si="37"/>
        <v>0.18</v>
      </c>
      <c r="K185" s="18">
        <f t="shared" si="38"/>
        <v>77.580000000000013</v>
      </c>
    </row>
    <row r="186" spans="1:13">
      <c r="A186" s="6">
        <v>173</v>
      </c>
      <c r="B186" s="27" t="s">
        <v>170</v>
      </c>
      <c r="C186" s="29" t="s">
        <v>176</v>
      </c>
      <c r="D186" s="68">
        <v>5</v>
      </c>
      <c r="E186" s="19">
        <v>1.78</v>
      </c>
      <c r="F186" s="19">
        <v>51.73</v>
      </c>
      <c r="G186" s="19">
        <v>0.03</v>
      </c>
      <c r="H186" s="18">
        <f t="shared" si="35"/>
        <v>8.9</v>
      </c>
      <c r="I186" s="18">
        <f t="shared" si="36"/>
        <v>258.64999999999998</v>
      </c>
      <c r="J186" s="23">
        <f t="shared" si="37"/>
        <v>0.15</v>
      </c>
      <c r="K186" s="18">
        <f t="shared" si="38"/>
        <v>267.69999999999993</v>
      </c>
    </row>
    <row r="187" spans="1:13">
      <c r="A187" s="6">
        <v>174</v>
      </c>
      <c r="B187" s="28" t="s">
        <v>199</v>
      </c>
      <c r="C187" s="29" t="s">
        <v>158</v>
      </c>
      <c r="D187" s="68"/>
      <c r="E187" s="19"/>
      <c r="F187" s="19"/>
      <c r="G187" s="19"/>
      <c r="H187" s="18">
        <f t="shared" si="35"/>
        <v>0</v>
      </c>
      <c r="I187" s="18">
        <f t="shared" si="36"/>
        <v>0</v>
      </c>
      <c r="J187" s="23">
        <f t="shared" si="37"/>
        <v>0</v>
      </c>
      <c r="K187" s="18">
        <f t="shared" si="38"/>
        <v>0</v>
      </c>
    </row>
    <row r="188" spans="1:13">
      <c r="A188" s="6">
        <v>175</v>
      </c>
      <c r="B188" s="27" t="s">
        <v>80</v>
      </c>
      <c r="C188" s="29" t="s">
        <v>6</v>
      </c>
      <c r="D188" s="68">
        <v>64.8</v>
      </c>
      <c r="E188" s="18">
        <v>11.2</v>
      </c>
      <c r="F188" s="19">
        <v>51</v>
      </c>
      <c r="G188" s="19">
        <v>0.57999999999999996</v>
      </c>
      <c r="H188" s="18">
        <f t="shared" si="35"/>
        <v>725.75999999999988</v>
      </c>
      <c r="I188" s="18">
        <f t="shared" si="36"/>
        <v>3304.7999999999997</v>
      </c>
      <c r="J188" s="23">
        <f t="shared" si="37"/>
        <v>37.583999999999996</v>
      </c>
      <c r="K188" s="18">
        <f t="shared" si="38"/>
        <v>4068.1439999999993</v>
      </c>
    </row>
    <row r="189" spans="1:13">
      <c r="A189" s="6">
        <v>176</v>
      </c>
      <c r="B189" s="27" t="s">
        <v>159</v>
      </c>
      <c r="C189" s="7" t="s">
        <v>11</v>
      </c>
      <c r="D189" s="68"/>
      <c r="E189" s="19">
        <v>15</v>
      </c>
      <c r="F189" s="19">
        <v>200</v>
      </c>
      <c r="G189" s="19">
        <v>0.57999999999999996</v>
      </c>
      <c r="H189" s="18">
        <f>D189*E189</f>
        <v>0</v>
      </c>
      <c r="I189" s="18">
        <f>D189*F189</f>
        <v>0</v>
      </c>
      <c r="J189" s="23">
        <f>D189*G189</f>
        <v>0</v>
      </c>
      <c r="K189" s="18">
        <f>H189+I189+J189</f>
        <v>0</v>
      </c>
    </row>
    <row r="190" spans="1:13">
      <c r="A190" s="6">
        <v>177</v>
      </c>
      <c r="B190" s="27" t="s">
        <v>157</v>
      </c>
      <c r="C190" s="7" t="s">
        <v>11</v>
      </c>
      <c r="D190" s="68">
        <v>2</v>
      </c>
      <c r="E190" s="19">
        <v>15</v>
      </c>
      <c r="F190" s="19">
        <v>200</v>
      </c>
      <c r="G190" s="19">
        <v>0.57999999999999996</v>
      </c>
      <c r="H190" s="18">
        <f>D190*E190</f>
        <v>30</v>
      </c>
      <c r="I190" s="18">
        <f>D190*F190</f>
        <v>400</v>
      </c>
      <c r="J190" s="23">
        <f>D190*G190</f>
        <v>1.1599999999999999</v>
      </c>
      <c r="K190" s="18">
        <f>H190+I190+J190</f>
        <v>431.16</v>
      </c>
    </row>
    <row r="191" spans="1:13">
      <c r="A191" s="6">
        <v>178</v>
      </c>
      <c r="B191" s="27" t="s">
        <v>156</v>
      </c>
      <c r="C191" s="7" t="s">
        <v>11</v>
      </c>
      <c r="D191" s="68">
        <v>2</v>
      </c>
      <c r="E191" s="19">
        <v>15</v>
      </c>
      <c r="F191" s="19">
        <v>180</v>
      </c>
      <c r="G191" s="19">
        <v>0.57999999999999996</v>
      </c>
      <c r="H191" s="18">
        <f>D191*E191</f>
        <v>30</v>
      </c>
      <c r="I191" s="18">
        <f>D191*F191</f>
        <v>360</v>
      </c>
      <c r="J191" s="23">
        <f>D191*G191</f>
        <v>1.1599999999999999</v>
      </c>
      <c r="K191" s="18">
        <f>H191+I191+J191</f>
        <v>391.16</v>
      </c>
    </row>
    <row r="192" spans="1:13">
      <c r="A192" s="6">
        <v>179</v>
      </c>
      <c r="B192" s="27" t="s">
        <v>207</v>
      </c>
      <c r="C192" s="7" t="s">
        <v>11</v>
      </c>
      <c r="D192" s="68">
        <v>8</v>
      </c>
      <c r="E192" s="19">
        <v>11.5</v>
      </c>
      <c r="F192" s="19">
        <v>173</v>
      </c>
      <c r="G192" s="19">
        <v>0.57999999999999996</v>
      </c>
      <c r="H192" s="18">
        <f t="shared" si="35"/>
        <v>92</v>
      </c>
      <c r="I192" s="18">
        <f t="shared" si="36"/>
        <v>1384</v>
      </c>
      <c r="J192" s="23">
        <f t="shared" si="37"/>
        <v>4.6399999999999997</v>
      </c>
      <c r="K192" s="18">
        <f t="shared" si="38"/>
        <v>1480.64</v>
      </c>
    </row>
    <row r="193" spans="1:11">
      <c r="A193" s="6">
        <v>180</v>
      </c>
      <c r="B193" s="27" t="s">
        <v>81</v>
      </c>
      <c r="C193" s="7" t="s">
        <v>11</v>
      </c>
      <c r="D193" s="68">
        <v>1</v>
      </c>
      <c r="E193" s="19"/>
      <c r="F193" s="19"/>
      <c r="G193" s="19">
        <v>0.57999999999999996</v>
      </c>
      <c r="H193" s="18">
        <f t="shared" si="35"/>
        <v>0</v>
      </c>
      <c r="I193" s="18">
        <f t="shared" si="36"/>
        <v>0</v>
      </c>
      <c r="J193" s="23">
        <f t="shared" si="37"/>
        <v>0.57999999999999996</v>
      </c>
      <c r="K193" s="18">
        <f t="shared" si="38"/>
        <v>0.57999999999999996</v>
      </c>
    </row>
    <row r="194" spans="1:11">
      <c r="A194" s="6">
        <v>181</v>
      </c>
      <c r="B194" s="28" t="s">
        <v>88</v>
      </c>
      <c r="C194" s="29" t="s">
        <v>6</v>
      </c>
      <c r="D194" s="68">
        <v>33</v>
      </c>
      <c r="E194" s="19">
        <v>3.8</v>
      </c>
      <c r="F194" s="19"/>
      <c r="G194" s="19">
        <v>0.38</v>
      </c>
      <c r="H194" s="18">
        <f t="shared" si="35"/>
        <v>125.39999999999999</v>
      </c>
      <c r="I194" s="18">
        <f t="shared" si="36"/>
        <v>0</v>
      </c>
      <c r="J194" s="23">
        <f t="shared" si="37"/>
        <v>12.540000000000001</v>
      </c>
      <c r="K194" s="18">
        <f t="shared" si="38"/>
        <v>137.94</v>
      </c>
    </row>
    <row r="195" spans="1:11">
      <c r="A195" s="6">
        <v>182</v>
      </c>
      <c r="B195" s="27" t="s">
        <v>89</v>
      </c>
      <c r="C195" s="7" t="s">
        <v>11</v>
      </c>
      <c r="D195" s="68">
        <v>20</v>
      </c>
      <c r="E195" s="19"/>
      <c r="F195" s="19">
        <v>1.58</v>
      </c>
      <c r="G195" s="19"/>
      <c r="H195" s="18">
        <f t="shared" si="35"/>
        <v>0</v>
      </c>
      <c r="I195" s="18">
        <f t="shared" si="36"/>
        <v>31.6</v>
      </c>
      <c r="J195" s="23">
        <f t="shared" si="37"/>
        <v>0</v>
      </c>
      <c r="K195" s="18">
        <f t="shared" si="38"/>
        <v>31.6</v>
      </c>
    </row>
    <row r="196" spans="1:11">
      <c r="A196" s="6">
        <v>183</v>
      </c>
      <c r="B196" s="27" t="s">
        <v>90</v>
      </c>
      <c r="C196" s="7" t="s">
        <v>11</v>
      </c>
      <c r="D196" s="68">
        <v>8</v>
      </c>
      <c r="E196" s="19"/>
      <c r="F196" s="19">
        <v>1.84</v>
      </c>
      <c r="G196" s="19"/>
      <c r="H196" s="18">
        <f t="shared" si="35"/>
        <v>0</v>
      </c>
      <c r="I196" s="18">
        <f t="shared" si="36"/>
        <v>14.72</v>
      </c>
      <c r="J196" s="23">
        <f t="shared" si="37"/>
        <v>0</v>
      </c>
      <c r="K196" s="18">
        <f t="shared" si="38"/>
        <v>14.72</v>
      </c>
    </row>
    <row r="197" spans="1:11">
      <c r="A197" s="6">
        <v>184</v>
      </c>
      <c r="B197" s="27" t="s">
        <v>135</v>
      </c>
      <c r="C197" s="7" t="s">
        <v>11</v>
      </c>
      <c r="D197" s="68">
        <v>17</v>
      </c>
      <c r="E197" s="19"/>
      <c r="F197" s="19">
        <v>0.22</v>
      </c>
      <c r="G197" s="19"/>
      <c r="H197" s="18">
        <f t="shared" si="35"/>
        <v>0</v>
      </c>
      <c r="I197" s="18">
        <f t="shared" si="36"/>
        <v>3.74</v>
      </c>
      <c r="J197" s="23">
        <f t="shared" si="37"/>
        <v>0</v>
      </c>
      <c r="K197" s="18">
        <f t="shared" si="38"/>
        <v>3.74</v>
      </c>
    </row>
    <row r="198" spans="1:11">
      <c r="A198" s="6">
        <v>185</v>
      </c>
      <c r="B198" s="27" t="s">
        <v>149</v>
      </c>
      <c r="C198" s="29" t="s">
        <v>11</v>
      </c>
      <c r="D198" s="68">
        <v>33</v>
      </c>
      <c r="E198" s="19"/>
      <c r="F198" s="19">
        <v>0.65</v>
      </c>
      <c r="G198" s="19"/>
      <c r="H198" s="18">
        <f t="shared" si="35"/>
        <v>0</v>
      </c>
      <c r="I198" s="18">
        <f t="shared" si="36"/>
        <v>21.45</v>
      </c>
      <c r="J198" s="23">
        <f t="shared" si="37"/>
        <v>0</v>
      </c>
      <c r="K198" s="18">
        <f t="shared" si="38"/>
        <v>21.45</v>
      </c>
    </row>
    <row r="199" spans="1:11">
      <c r="A199" s="6">
        <v>186</v>
      </c>
      <c r="B199" s="27" t="s">
        <v>91</v>
      </c>
      <c r="C199" s="29" t="s">
        <v>6</v>
      </c>
      <c r="D199" s="68">
        <v>136.80000000000001</v>
      </c>
      <c r="E199" s="19"/>
      <c r="F199" s="19">
        <v>0.94</v>
      </c>
      <c r="G199" s="19"/>
      <c r="H199" s="18">
        <f t="shared" si="35"/>
        <v>0</v>
      </c>
      <c r="I199" s="18">
        <f t="shared" si="36"/>
        <v>128.59200000000001</v>
      </c>
      <c r="J199" s="23">
        <f t="shared" si="37"/>
        <v>0</v>
      </c>
      <c r="K199" s="18">
        <f t="shared" si="38"/>
        <v>128.59200000000001</v>
      </c>
    </row>
    <row r="200" spans="1:11">
      <c r="A200" s="6">
        <v>187</v>
      </c>
      <c r="B200" s="27" t="s">
        <v>92</v>
      </c>
      <c r="C200" s="29" t="s">
        <v>34</v>
      </c>
      <c r="D200" s="68">
        <v>50</v>
      </c>
      <c r="E200" s="19"/>
      <c r="F200" s="19">
        <v>0.03</v>
      </c>
      <c r="G200" s="19"/>
      <c r="H200" s="18">
        <f t="shared" si="35"/>
        <v>0</v>
      </c>
      <c r="I200" s="18">
        <f t="shared" si="36"/>
        <v>1.5</v>
      </c>
      <c r="J200" s="23">
        <f t="shared" si="37"/>
        <v>0</v>
      </c>
      <c r="K200" s="18">
        <f t="shared" si="38"/>
        <v>1.5</v>
      </c>
    </row>
    <row r="201" spans="1:11">
      <c r="A201" s="6">
        <v>188</v>
      </c>
      <c r="B201" s="15" t="s">
        <v>93</v>
      </c>
      <c r="C201" s="7" t="s">
        <v>47</v>
      </c>
      <c r="D201" s="68">
        <v>25</v>
      </c>
      <c r="E201" s="19"/>
      <c r="F201" s="19">
        <v>0.6</v>
      </c>
      <c r="G201" s="19"/>
      <c r="H201" s="18">
        <f t="shared" si="35"/>
        <v>0</v>
      </c>
      <c r="I201" s="18">
        <f t="shared" si="36"/>
        <v>15</v>
      </c>
      <c r="J201" s="23">
        <f t="shared" si="37"/>
        <v>0</v>
      </c>
      <c r="K201" s="18">
        <f t="shared" si="38"/>
        <v>15</v>
      </c>
    </row>
    <row r="202" spans="1:11">
      <c r="A202" s="6">
        <v>189</v>
      </c>
      <c r="B202" s="15" t="s">
        <v>94</v>
      </c>
      <c r="C202" s="7" t="s">
        <v>47</v>
      </c>
      <c r="D202" s="68">
        <v>25</v>
      </c>
      <c r="E202" s="19"/>
      <c r="F202" s="19">
        <v>0.3</v>
      </c>
      <c r="G202" s="19"/>
      <c r="H202" s="18">
        <f t="shared" si="35"/>
        <v>0</v>
      </c>
      <c r="I202" s="18">
        <f t="shared" si="36"/>
        <v>7.5</v>
      </c>
      <c r="J202" s="23">
        <f t="shared" si="37"/>
        <v>0</v>
      </c>
      <c r="K202" s="18">
        <f t="shared" si="38"/>
        <v>7.5</v>
      </c>
    </row>
    <row r="203" spans="1:11">
      <c r="A203" s="6">
        <v>190</v>
      </c>
      <c r="B203" s="15" t="s">
        <v>95</v>
      </c>
      <c r="C203" s="7" t="s">
        <v>47</v>
      </c>
      <c r="D203" s="68">
        <v>5</v>
      </c>
      <c r="E203" s="19"/>
      <c r="F203" s="19">
        <v>1</v>
      </c>
      <c r="G203" s="19"/>
      <c r="H203" s="18">
        <f t="shared" si="35"/>
        <v>0</v>
      </c>
      <c r="I203" s="18">
        <f t="shared" si="36"/>
        <v>5</v>
      </c>
      <c r="J203" s="23">
        <f t="shared" si="37"/>
        <v>0</v>
      </c>
      <c r="K203" s="18">
        <f t="shared" si="38"/>
        <v>5</v>
      </c>
    </row>
    <row r="204" spans="1:11">
      <c r="A204" s="6">
        <v>191</v>
      </c>
      <c r="B204" s="28" t="s">
        <v>96</v>
      </c>
      <c r="C204" s="29" t="s">
        <v>6</v>
      </c>
      <c r="D204" s="68">
        <v>57</v>
      </c>
      <c r="E204" s="19">
        <v>3.8</v>
      </c>
      <c r="F204" s="19"/>
      <c r="G204" s="19">
        <v>0.38</v>
      </c>
      <c r="H204" s="18">
        <f t="shared" si="35"/>
        <v>216.6</v>
      </c>
      <c r="I204" s="18">
        <f t="shared" si="36"/>
        <v>0</v>
      </c>
      <c r="J204" s="23">
        <f t="shared" si="37"/>
        <v>21.66</v>
      </c>
      <c r="K204" s="18">
        <f t="shared" si="38"/>
        <v>238.26</v>
      </c>
    </row>
    <row r="205" spans="1:11">
      <c r="A205" s="6">
        <v>192</v>
      </c>
      <c r="B205" s="27" t="s">
        <v>89</v>
      </c>
      <c r="C205" s="7" t="s">
        <v>11</v>
      </c>
      <c r="D205" s="68">
        <v>38</v>
      </c>
      <c r="E205" s="19"/>
      <c r="F205" s="19">
        <v>1.58</v>
      </c>
      <c r="G205" s="19"/>
      <c r="H205" s="18">
        <f t="shared" si="35"/>
        <v>0</v>
      </c>
      <c r="I205" s="18">
        <f t="shared" si="36"/>
        <v>60.040000000000006</v>
      </c>
      <c r="J205" s="23">
        <f t="shared" si="37"/>
        <v>0</v>
      </c>
      <c r="K205" s="18">
        <f t="shared" si="38"/>
        <v>60.040000000000006</v>
      </c>
    </row>
    <row r="206" spans="1:11">
      <c r="A206" s="6">
        <v>193</v>
      </c>
      <c r="B206" s="27" t="s">
        <v>90</v>
      </c>
      <c r="C206" s="7" t="s">
        <v>11</v>
      </c>
      <c r="D206" s="68">
        <v>14</v>
      </c>
      <c r="E206" s="19"/>
      <c r="F206" s="19">
        <v>1.84</v>
      </c>
      <c r="G206" s="19"/>
      <c r="H206" s="18">
        <f t="shared" si="35"/>
        <v>0</v>
      </c>
      <c r="I206" s="18">
        <f t="shared" si="36"/>
        <v>25.76</v>
      </c>
      <c r="J206" s="23">
        <f t="shared" si="37"/>
        <v>0</v>
      </c>
      <c r="K206" s="18">
        <f t="shared" si="38"/>
        <v>25.76</v>
      </c>
    </row>
    <row r="207" spans="1:11">
      <c r="A207" s="6">
        <v>194</v>
      </c>
      <c r="B207" s="27" t="s">
        <v>135</v>
      </c>
      <c r="C207" s="7" t="s">
        <v>11</v>
      </c>
      <c r="D207" s="68">
        <v>28</v>
      </c>
      <c r="E207" s="19"/>
      <c r="F207" s="19">
        <v>0.22</v>
      </c>
      <c r="G207" s="19"/>
      <c r="H207" s="18">
        <f t="shared" si="35"/>
        <v>0</v>
      </c>
      <c r="I207" s="18">
        <f t="shared" si="36"/>
        <v>6.16</v>
      </c>
      <c r="J207" s="23">
        <f t="shared" si="37"/>
        <v>0</v>
      </c>
      <c r="K207" s="18">
        <f t="shared" si="38"/>
        <v>6.16</v>
      </c>
    </row>
    <row r="208" spans="1:11">
      <c r="A208" s="6">
        <v>195</v>
      </c>
      <c r="B208" s="27" t="s">
        <v>149</v>
      </c>
      <c r="C208" s="29" t="s">
        <v>11</v>
      </c>
      <c r="D208" s="68">
        <v>57</v>
      </c>
      <c r="E208" s="19"/>
      <c r="F208" s="19">
        <v>0.65</v>
      </c>
      <c r="G208" s="19"/>
      <c r="H208" s="18">
        <f t="shared" si="35"/>
        <v>0</v>
      </c>
      <c r="I208" s="18">
        <f t="shared" si="36"/>
        <v>37.050000000000004</v>
      </c>
      <c r="J208" s="23">
        <f t="shared" si="37"/>
        <v>0</v>
      </c>
      <c r="K208" s="18">
        <f t="shared" si="38"/>
        <v>37.050000000000004</v>
      </c>
    </row>
    <row r="209" spans="1:11">
      <c r="A209" s="6">
        <v>196</v>
      </c>
      <c r="B209" s="27" t="s">
        <v>91</v>
      </c>
      <c r="C209" s="29" t="s">
        <v>6</v>
      </c>
      <c r="D209" s="68">
        <v>233.2</v>
      </c>
      <c r="E209" s="19"/>
      <c r="F209" s="19">
        <v>0.94</v>
      </c>
      <c r="G209" s="19"/>
      <c r="H209" s="18">
        <f t="shared" si="35"/>
        <v>0</v>
      </c>
      <c r="I209" s="18">
        <f t="shared" si="36"/>
        <v>219.20799999999997</v>
      </c>
      <c r="J209" s="23">
        <f t="shared" si="37"/>
        <v>0</v>
      </c>
      <c r="K209" s="18">
        <f t="shared" si="38"/>
        <v>219.20799999999997</v>
      </c>
    </row>
    <row r="210" spans="1:11">
      <c r="A210" s="6">
        <v>197</v>
      </c>
      <c r="B210" s="27" t="s">
        <v>92</v>
      </c>
      <c r="C210" s="29" t="s">
        <v>34</v>
      </c>
      <c r="D210" s="68">
        <v>90</v>
      </c>
      <c r="E210" s="19"/>
      <c r="F210" s="19">
        <v>0.03</v>
      </c>
      <c r="G210" s="19"/>
      <c r="H210" s="18">
        <f t="shared" si="35"/>
        <v>0</v>
      </c>
      <c r="I210" s="18">
        <f t="shared" si="36"/>
        <v>2.6999999999999997</v>
      </c>
      <c r="J210" s="23">
        <f t="shared" si="37"/>
        <v>0</v>
      </c>
      <c r="K210" s="18">
        <f t="shared" si="38"/>
        <v>2.6999999999999997</v>
      </c>
    </row>
    <row r="211" spans="1:11">
      <c r="A211" s="6">
        <v>198</v>
      </c>
      <c r="B211" s="15" t="s">
        <v>93</v>
      </c>
      <c r="C211" s="7" t="s">
        <v>47</v>
      </c>
      <c r="D211" s="68">
        <v>50</v>
      </c>
      <c r="E211" s="19"/>
      <c r="F211" s="19">
        <v>0.6</v>
      </c>
      <c r="G211" s="19"/>
      <c r="H211" s="18">
        <f t="shared" si="35"/>
        <v>0</v>
      </c>
      <c r="I211" s="18">
        <f t="shared" si="36"/>
        <v>30</v>
      </c>
      <c r="J211" s="23">
        <f t="shared" si="37"/>
        <v>0</v>
      </c>
      <c r="K211" s="18">
        <f t="shared" si="38"/>
        <v>30</v>
      </c>
    </row>
    <row r="212" spans="1:11">
      <c r="A212" s="6">
        <v>199</v>
      </c>
      <c r="B212" s="15" t="s">
        <v>94</v>
      </c>
      <c r="C212" s="7" t="s">
        <v>47</v>
      </c>
      <c r="D212" s="68">
        <v>50</v>
      </c>
      <c r="E212" s="19"/>
      <c r="F212" s="19">
        <v>0.3</v>
      </c>
      <c r="G212" s="19"/>
      <c r="H212" s="18">
        <f t="shared" si="35"/>
        <v>0</v>
      </c>
      <c r="I212" s="18">
        <f t="shared" si="36"/>
        <v>15</v>
      </c>
      <c r="J212" s="23">
        <f t="shared" si="37"/>
        <v>0</v>
      </c>
      <c r="K212" s="18">
        <f t="shared" si="38"/>
        <v>15</v>
      </c>
    </row>
    <row r="213" spans="1:11">
      <c r="A213" s="6">
        <v>200</v>
      </c>
      <c r="B213" s="15" t="s">
        <v>95</v>
      </c>
      <c r="C213" s="7" t="s">
        <v>47</v>
      </c>
      <c r="D213" s="68">
        <v>5</v>
      </c>
      <c r="E213" s="19"/>
      <c r="F213" s="19">
        <v>1</v>
      </c>
      <c r="G213" s="19"/>
      <c r="H213" s="18">
        <f t="shared" si="35"/>
        <v>0</v>
      </c>
      <c r="I213" s="18">
        <f t="shared" si="36"/>
        <v>5</v>
      </c>
      <c r="J213" s="23">
        <f t="shared" si="37"/>
        <v>0</v>
      </c>
      <c r="K213" s="18">
        <f t="shared" si="38"/>
        <v>5</v>
      </c>
    </row>
    <row r="214" spans="1:11">
      <c r="A214" s="6">
        <v>201</v>
      </c>
      <c r="B214" s="16" t="s">
        <v>200</v>
      </c>
      <c r="C214" s="29" t="s">
        <v>6</v>
      </c>
      <c r="D214" s="68">
        <v>7.13</v>
      </c>
      <c r="E214" s="19">
        <v>3.45</v>
      </c>
      <c r="F214" s="19"/>
      <c r="G214" s="19">
        <v>0.46</v>
      </c>
      <c r="H214" s="18">
        <f>D214*E214</f>
        <v>24.598500000000001</v>
      </c>
      <c r="I214" s="18">
        <f>D214*F214</f>
        <v>0</v>
      </c>
      <c r="J214" s="23">
        <f>D214*G214</f>
        <v>3.2798000000000003</v>
      </c>
      <c r="K214" s="18">
        <f>H214+I214+J214</f>
        <v>27.878300000000003</v>
      </c>
    </row>
    <row r="215" spans="1:11">
      <c r="A215" s="6">
        <v>202</v>
      </c>
      <c r="B215" s="15" t="s">
        <v>209</v>
      </c>
      <c r="C215" s="29" t="s">
        <v>6</v>
      </c>
      <c r="D215" s="68">
        <v>7.13</v>
      </c>
      <c r="E215" s="19"/>
      <c r="F215" s="19">
        <v>48</v>
      </c>
      <c r="G215" s="19"/>
      <c r="H215" s="18">
        <f>D215*E215</f>
        <v>0</v>
      </c>
      <c r="I215" s="18">
        <f>D215*F215</f>
        <v>342.24</v>
      </c>
      <c r="J215" s="23">
        <f>D215*G215</f>
        <v>0</v>
      </c>
      <c r="K215" s="18">
        <f>H215+I215+J215</f>
        <v>342.24</v>
      </c>
    </row>
    <row r="216" spans="1:11">
      <c r="A216" s="6">
        <v>203</v>
      </c>
      <c r="B216" s="15" t="s">
        <v>201</v>
      </c>
      <c r="C216" s="29" t="s">
        <v>11</v>
      </c>
      <c r="D216" s="68">
        <v>1</v>
      </c>
      <c r="E216" s="19">
        <v>11.5</v>
      </c>
      <c r="F216" s="19">
        <v>191</v>
      </c>
      <c r="G216" s="19">
        <v>0.45</v>
      </c>
      <c r="H216" s="18">
        <f>D216*E216</f>
        <v>11.5</v>
      </c>
      <c r="I216" s="18">
        <f>D216*F216</f>
        <v>191</v>
      </c>
      <c r="J216" s="23">
        <f>D216*G216</f>
        <v>0.45</v>
      </c>
      <c r="K216" s="18">
        <f>H216+I216+J216</f>
        <v>202.95</v>
      </c>
    </row>
    <row r="217" spans="1:11">
      <c r="A217" s="6">
        <v>204</v>
      </c>
      <c r="B217" s="28" t="s">
        <v>175</v>
      </c>
      <c r="C217" s="29" t="s">
        <v>6</v>
      </c>
      <c r="D217" s="68">
        <v>21.5</v>
      </c>
      <c r="E217" s="19">
        <v>1.7</v>
      </c>
      <c r="F217" s="19"/>
      <c r="G217" s="19">
        <v>0.12</v>
      </c>
      <c r="H217" s="18">
        <f t="shared" si="35"/>
        <v>36.549999999999997</v>
      </c>
      <c r="I217" s="18">
        <f t="shared" si="36"/>
        <v>0</v>
      </c>
      <c r="J217" s="23">
        <f t="shared" si="37"/>
        <v>2.58</v>
      </c>
      <c r="K217" s="18">
        <f t="shared" si="38"/>
        <v>39.129999999999995</v>
      </c>
    </row>
    <row r="218" spans="1:11">
      <c r="A218" s="6">
        <v>205</v>
      </c>
      <c r="B218" s="27" t="s">
        <v>97</v>
      </c>
      <c r="C218" s="29" t="s">
        <v>6</v>
      </c>
      <c r="D218" s="68">
        <v>13</v>
      </c>
      <c r="E218" s="19"/>
      <c r="F218" s="19">
        <v>14.9</v>
      </c>
      <c r="G218" s="19"/>
      <c r="H218" s="18">
        <f t="shared" si="35"/>
        <v>0</v>
      </c>
      <c r="I218" s="18">
        <f t="shared" si="36"/>
        <v>193.70000000000002</v>
      </c>
      <c r="J218" s="23">
        <f t="shared" si="37"/>
        <v>0</v>
      </c>
      <c r="K218" s="18">
        <f t="shared" si="38"/>
        <v>193.70000000000002</v>
      </c>
    </row>
    <row r="219" spans="1:11">
      <c r="A219" s="6">
        <v>206</v>
      </c>
      <c r="B219" s="28" t="s">
        <v>98</v>
      </c>
      <c r="C219" s="29"/>
      <c r="D219" s="68"/>
      <c r="E219" s="19"/>
      <c r="F219" s="19"/>
      <c r="G219" s="19"/>
      <c r="H219" s="18">
        <f t="shared" si="35"/>
        <v>0</v>
      </c>
      <c r="I219" s="18">
        <f t="shared" si="36"/>
        <v>0</v>
      </c>
      <c r="J219" s="23">
        <f t="shared" si="37"/>
        <v>0</v>
      </c>
      <c r="K219" s="18">
        <f t="shared" si="38"/>
        <v>0</v>
      </c>
    </row>
    <row r="220" spans="1:11">
      <c r="A220" s="6">
        <v>207</v>
      </c>
      <c r="B220" s="27" t="s">
        <v>99</v>
      </c>
      <c r="C220" s="29" t="s">
        <v>6</v>
      </c>
      <c r="D220" s="68">
        <v>6.5</v>
      </c>
      <c r="E220" s="19">
        <v>5.4</v>
      </c>
      <c r="F220" s="19"/>
      <c r="G220" s="19">
        <v>0.5</v>
      </c>
      <c r="H220" s="18">
        <f t="shared" si="35"/>
        <v>35.1</v>
      </c>
      <c r="I220" s="18">
        <f t="shared" si="36"/>
        <v>0</v>
      </c>
      <c r="J220" s="23">
        <f t="shared" si="37"/>
        <v>3.25</v>
      </c>
      <c r="K220" s="18">
        <f t="shared" si="38"/>
        <v>38.35</v>
      </c>
    </row>
    <row r="221" spans="1:11">
      <c r="A221" s="6">
        <v>208</v>
      </c>
      <c r="B221" s="27" t="s">
        <v>100</v>
      </c>
      <c r="C221" s="29" t="s">
        <v>6</v>
      </c>
      <c r="D221" s="68">
        <v>26</v>
      </c>
      <c r="E221" s="19">
        <v>5.4</v>
      </c>
      <c r="F221" s="19"/>
      <c r="G221" s="19">
        <v>0.5</v>
      </c>
      <c r="H221" s="18">
        <f t="shared" si="35"/>
        <v>140.4</v>
      </c>
      <c r="I221" s="18">
        <f t="shared" si="36"/>
        <v>0</v>
      </c>
      <c r="J221" s="23">
        <f t="shared" si="37"/>
        <v>13</v>
      </c>
      <c r="K221" s="18">
        <f t="shared" si="38"/>
        <v>153.4</v>
      </c>
    </row>
    <row r="222" spans="1:11">
      <c r="A222" s="6">
        <v>209</v>
      </c>
      <c r="B222" s="27" t="s">
        <v>101</v>
      </c>
      <c r="C222" s="29" t="s">
        <v>6</v>
      </c>
      <c r="D222" s="68">
        <v>7.5</v>
      </c>
      <c r="E222" s="19"/>
      <c r="F222" s="19">
        <v>6.5</v>
      </c>
      <c r="G222" s="19"/>
      <c r="H222" s="18">
        <f t="shared" si="35"/>
        <v>0</v>
      </c>
      <c r="I222" s="18">
        <f t="shared" si="36"/>
        <v>48.75</v>
      </c>
      <c r="J222" s="23">
        <f t="shared" si="37"/>
        <v>0</v>
      </c>
      <c r="K222" s="18">
        <f t="shared" si="38"/>
        <v>48.75</v>
      </c>
    </row>
    <row r="223" spans="1:11">
      <c r="A223" s="6">
        <v>210</v>
      </c>
      <c r="B223" s="27" t="s">
        <v>102</v>
      </c>
      <c r="C223" s="29" t="s">
        <v>6</v>
      </c>
      <c r="D223" s="68">
        <v>28</v>
      </c>
      <c r="E223" s="19"/>
      <c r="F223" s="19">
        <v>5.6</v>
      </c>
      <c r="G223" s="19"/>
      <c r="H223" s="18">
        <f t="shared" si="35"/>
        <v>0</v>
      </c>
      <c r="I223" s="18">
        <f t="shared" si="36"/>
        <v>156.79999999999998</v>
      </c>
      <c r="J223" s="23">
        <f t="shared" si="37"/>
        <v>0</v>
      </c>
      <c r="K223" s="18">
        <f t="shared" si="38"/>
        <v>156.79999999999998</v>
      </c>
    </row>
    <row r="224" spans="1:11">
      <c r="A224" s="6">
        <v>211</v>
      </c>
      <c r="B224" s="27" t="s">
        <v>58</v>
      </c>
      <c r="C224" s="7" t="s">
        <v>47</v>
      </c>
      <c r="D224" s="68">
        <v>140</v>
      </c>
      <c r="E224" s="19"/>
      <c r="F224" s="19">
        <v>0.23</v>
      </c>
      <c r="G224" s="19"/>
      <c r="H224" s="18">
        <f t="shared" si="35"/>
        <v>0</v>
      </c>
      <c r="I224" s="18">
        <f t="shared" si="36"/>
        <v>32.200000000000003</v>
      </c>
      <c r="J224" s="23">
        <f t="shared" si="37"/>
        <v>0</v>
      </c>
      <c r="K224" s="18">
        <f t="shared" si="38"/>
        <v>32.200000000000003</v>
      </c>
    </row>
    <row r="225" spans="1:11">
      <c r="A225" s="6">
        <v>212</v>
      </c>
      <c r="B225" s="27" t="s">
        <v>59</v>
      </c>
      <c r="C225" s="7" t="s">
        <v>47</v>
      </c>
      <c r="D225" s="68">
        <v>35</v>
      </c>
      <c r="E225" s="19"/>
      <c r="F225" s="19">
        <v>0.05</v>
      </c>
      <c r="G225" s="19"/>
      <c r="H225" s="18">
        <f t="shared" si="35"/>
        <v>0</v>
      </c>
      <c r="I225" s="18">
        <f t="shared" si="36"/>
        <v>1.75</v>
      </c>
      <c r="J225" s="23">
        <f t="shared" si="37"/>
        <v>0</v>
      </c>
      <c r="K225" s="18">
        <f t="shared" si="38"/>
        <v>1.75</v>
      </c>
    </row>
    <row r="226" spans="1:11">
      <c r="A226" s="6">
        <v>213</v>
      </c>
      <c r="B226" s="27" t="s">
        <v>85</v>
      </c>
      <c r="C226" s="29" t="s">
        <v>11</v>
      </c>
      <c r="D226" s="68">
        <v>4</v>
      </c>
      <c r="E226" s="19"/>
      <c r="F226" s="19">
        <v>2.19</v>
      </c>
      <c r="G226" s="19"/>
      <c r="H226" s="18">
        <f t="shared" si="35"/>
        <v>0</v>
      </c>
      <c r="I226" s="18">
        <f t="shared" si="36"/>
        <v>8.76</v>
      </c>
      <c r="J226" s="23">
        <f t="shared" si="37"/>
        <v>0</v>
      </c>
      <c r="K226" s="18">
        <f t="shared" si="38"/>
        <v>8.76</v>
      </c>
    </row>
    <row r="227" spans="1:11">
      <c r="A227" s="6">
        <v>214</v>
      </c>
      <c r="B227" s="28" t="s">
        <v>84</v>
      </c>
      <c r="C227" s="7" t="s">
        <v>6</v>
      </c>
      <c r="D227" s="68">
        <v>80</v>
      </c>
      <c r="E227" s="19">
        <v>3.2</v>
      </c>
      <c r="F227" s="19"/>
      <c r="G227" s="19">
        <v>0.32</v>
      </c>
      <c r="H227" s="18">
        <f t="shared" si="35"/>
        <v>256</v>
      </c>
      <c r="I227" s="18">
        <f t="shared" si="36"/>
        <v>0</v>
      </c>
      <c r="J227" s="23">
        <f t="shared" si="37"/>
        <v>25.6</v>
      </c>
      <c r="K227" s="18">
        <f t="shared" si="38"/>
        <v>281.60000000000002</v>
      </c>
    </row>
    <row r="228" spans="1:11">
      <c r="A228" s="6">
        <v>215</v>
      </c>
      <c r="B228" s="27" t="s">
        <v>27</v>
      </c>
      <c r="C228" s="7" t="s">
        <v>13</v>
      </c>
      <c r="D228" s="68">
        <v>4</v>
      </c>
      <c r="E228" s="19"/>
      <c r="F228" s="19">
        <v>79</v>
      </c>
      <c r="G228" s="19"/>
      <c r="H228" s="18">
        <f t="shared" si="35"/>
        <v>0</v>
      </c>
      <c r="I228" s="18">
        <f t="shared" si="36"/>
        <v>316</v>
      </c>
      <c r="J228" s="23">
        <f t="shared" si="37"/>
        <v>0</v>
      </c>
      <c r="K228" s="18">
        <f t="shared" si="38"/>
        <v>316</v>
      </c>
    </row>
    <row r="229" spans="1:11">
      <c r="A229" s="6">
        <v>216</v>
      </c>
      <c r="B229" s="27" t="s">
        <v>133</v>
      </c>
      <c r="C229" s="29" t="s">
        <v>6</v>
      </c>
      <c r="D229" s="68">
        <v>84</v>
      </c>
      <c r="E229" s="19"/>
      <c r="F229" s="19">
        <v>3.77</v>
      </c>
      <c r="G229" s="19"/>
      <c r="H229" s="18">
        <f t="shared" si="35"/>
        <v>0</v>
      </c>
      <c r="I229" s="18">
        <f t="shared" si="36"/>
        <v>316.68</v>
      </c>
      <c r="J229" s="23">
        <f t="shared" si="37"/>
        <v>0</v>
      </c>
      <c r="K229" s="18">
        <f t="shared" si="38"/>
        <v>316.68</v>
      </c>
    </row>
    <row r="230" spans="1:11">
      <c r="A230" s="6">
        <v>217</v>
      </c>
      <c r="B230" s="27" t="s">
        <v>39</v>
      </c>
      <c r="C230" s="29" t="s">
        <v>11</v>
      </c>
      <c r="D230" s="68">
        <v>80</v>
      </c>
      <c r="E230" s="19"/>
      <c r="F230" s="19">
        <v>0.65</v>
      </c>
      <c r="G230" s="19"/>
      <c r="H230" s="18">
        <f t="shared" si="35"/>
        <v>0</v>
      </c>
      <c r="I230" s="18">
        <f t="shared" si="36"/>
        <v>52</v>
      </c>
      <c r="J230" s="23">
        <f t="shared" si="37"/>
        <v>0</v>
      </c>
      <c r="K230" s="18">
        <f t="shared" si="38"/>
        <v>52</v>
      </c>
    </row>
    <row r="231" spans="1:11">
      <c r="A231" s="6">
        <v>218</v>
      </c>
      <c r="B231" s="27" t="s">
        <v>29</v>
      </c>
      <c r="C231" s="29" t="s">
        <v>6</v>
      </c>
      <c r="D231" s="68">
        <v>85</v>
      </c>
      <c r="E231" s="19"/>
      <c r="F231" s="19">
        <v>0.1</v>
      </c>
      <c r="G231" s="19"/>
      <c r="H231" s="18">
        <f t="shared" si="35"/>
        <v>0</v>
      </c>
      <c r="I231" s="18">
        <f t="shared" si="36"/>
        <v>8.5</v>
      </c>
      <c r="J231" s="23">
        <f t="shared" si="37"/>
        <v>0</v>
      </c>
      <c r="K231" s="18">
        <f t="shared" si="38"/>
        <v>8.5</v>
      </c>
    </row>
    <row r="232" spans="1:11">
      <c r="A232" s="6">
        <v>219</v>
      </c>
      <c r="B232" s="27" t="s">
        <v>28</v>
      </c>
      <c r="C232" s="7" t="s">
        <v>13</v>
      </c>
      <c r="D232" s="68">
        <v>16</v>
      </c>
      <c r="E232" s="19"/>
      <c r="F232" s="19">
        <v>24</v>
      </c>
      <c r="G232" s="19"/>
      <c r="H232" s="18">
        <f t="shared" si="35"/>
        <v>0</v>
      </c>
      <c r="I232" s="18">
        <f t="shared" si="36"/>
        <v>384</v>
      </c>
      <c r="J232" s="23">
        <f t="shared" si="37"/>
        <v>0</v>
      </c>
      <c r="K232" s="18">
        <f t="shared" si="38"/>
        <v>384</v>
      </c>
    </row>
    <row r="233" spans="1:11">
      <c r="A233" s="6">
        <v>220</v>
      </c>
      <c r="B233" s="28" t="s">
        <v>52</v>
      </c>
      <c r="C233" s="29" t="s">
        <v>6</v>
      </c>
      <c r="D233" s="68">
        <v>6</v>
      </c>
      <c r="E233" s="19">
        <v>1.43</v>
      </c>
      <c r="F233" s="19"/>
      <c r="G233" s="19">
        <v>0.2</v>
      </c>
      <c r="H233" s="18">
        <f t="shared" si="35"/>
        <v>8.58</v>
      </c>
      <c r="I233" s="18">
        <f t="shared" si="36"/>
        <v>0</v>
      </c>
      <c r="J233" s="23">
        <f t="shared" si="37"/>
        <v>1.2000000000000002</v>
      </c>
      <c r="K233" s="18">
        <f t="shared" si="38"/>
        <v>9.7800000000000011</v>
      </c>
    </row>
    <row r="234" spans="1:11">
      <c r="A234" s="6">
        <v>221</v>
      </c>
      <c r="B234" s="15" t="s">
        <v>50</v>
      </c>
      <c r="C234" s="7" t="s">
        <v>47</v>
      </c>
      <c r="D234" s="68">
        <v>45</v>
      </c>
      <c r="E234" s="19"/>
      <c r="F234" s="19">
        <v>0.04</v>
      </c>
      <c r="G234" s="19"/>
      <c r="H234" s="18">
        <f t="shared" si="35"/>
        <v>0</v>
      </c>
      <c r="I234" s="18">
        <f t="shared" si="36"/>
        <v>1.8</v>
      </c>
      <c r="J234" s="23">
        <f t="shared" si="37"/>
        <v>0</v>
      </c>
      <c r="K234" s="18">
        <f t="shared" si="38"/>
        <v>1.8</v>
      </c>
    </row>
    <row r="235" spans="1:11">
      <c r="A235" s="6">
        <v>222</v>
      </c>
      <c r="B235" s="15" t="s">
        <v>51</v>
      </c>
      <c r="C235" s="7" t="s">
        <v>13</v>
      </c>
      <c r="D235" s="68">
        <v>0.3</v>
      </c>
      <c r="E235" s="19"/>
      <c r="F235" s="18">
        <v>4.8</v>
      </c>
      <c r="G235" s="19"/>
      <c r="H235" s="18">
        <f t="shared" si="35"/>
        <v>0</v>
      </c>
      <c r="I235" s="18">
        <f t="shared" si="36"/>
        <v>1.44</v>
      </c>
      <c r="J235" s="23">
        <f t="shared" si="37"/>
        <v>0</v>
      </c>
      <c r="K235" s="18">
        <f t="shared" si="38"/>
        <v>1.44</v>
      </c>
    </row>
    <row r="236" spans="1:11">
      <c r="A236" s="6">
        <v>223</v>
      </c>
      <c r="B236" s="15" t="s">
        <v>53</v>
      </c>
      <c r="C236" s="29" t="s">
        <v>6</v>
      </c>
      <c r="D236" s="68">
        <v>6</v>
      </c>
      <c r="E236" s="19"/>
      <c r="F236" s="19">
        <v>1.1200000000000001</v>
      </c>
      <c r="G236" s="19"/>
      <c r="H236" s="18">
        <f t="shared" si="35"/>
        <v>0</v>
      </c>
      <c r="I236" s="18">
        <f t="shared" si="36"/>
        <v>6.7200000000000006</v>
      </c>
      <c r="J236" s="23">
        <f t="shared" si="37"/>
        <v>0</v>
      </c>
      <c r="K236" s="18">
        <f t="shared" si="38"/>
        <v>6.7200000000000006</v>
      </c>
    </row>
    <row r="237" spans="1:11">
      <c r="A237" s="6">
        <v>224</v>
      </c>
      <c r="B237" s="28" t="s">
        <v>22</v>
      </c>
      <c r="C237" s="29" t="s">
        <v>6</v>
      </c>
      <c r="D237" s="68">
        <v>6</v>
      </c>
      <c r="E237" s="19">
        <v>1.3</v>
      </c>
      <c r="F237" s="19"/>
      <c r="G237" s="19"/>
      <c r="H237" s="18">
        <f t="shared" si="35"/>
        <v>7.8000000000000007</v>
      </c>
      <c r="I237" s="18">
        <f t="shared" si="36"/>
        <v>0</v>
      </c>
      <c r="J237" s="23">
        <f t="shared" si="37"/>
        <v>0</v>
      </c>
      <c r="K237" s="18">
        <f t="shared" si="38"/>
        <v>7.8000000000000007</v>
      </c>
    </row>
    <row r="238" spans="1:11">
      <c r="A238" s="6">
        <v>225</v>
      </c>
      <c r="B238" s="27" t="s">
        <v>25</v>
      </c>
      <c r="C238" s="7" t="s">
        <v>13</v>
      </c>
      <c r="D238" s="68">
        <v>0.4</v>
      </c>
      <c r="E238" s="19"/>
      <c r="F238" s="19">
        <v>77</v>
      </c>
      <c r="G238" s="19"/>
      <c r="H238" s="18">
        <f t="shared" si="35"/>
        <v>0</v>
      </c>
      <c r="I238" s="18">
        <f t="shared" si="36"/>
        <v>30.8</v>
      </c>
      <c r="J238" s="23">
        <f t="shared" si="37"/>
        <v>0</v>
      </c>
      <c r="K238" s="18">
        <f t="shared" si="38"/>
        <v>30.8</v>
      </c>
    </row>
    <row r="239" spans="1:11">
      <c r="A239" s="6">
        <v>226</v>
      </c>
      <c r="B239" s="27" t="s">
        <v>54</v>
      </c>
      <c r="C239" s="29" t="s">
        <v>6</v>
      </c>
      <c r="D239" s="68">
        <v>7</v>
      </c>
      <c r="E239" s="19"/>
      <c r="F239" s="19">
        <v>3.25</v>
      </c>
      <c r="G239" s="19"/>
      <c r="H239" s="18">
        <f t="shared" si="35"/>
        <v>0</v>
      </c>
      <c r="I239" s="18">
        <f t="shared" si="36"/>
        <v>22.75</v>
      </c>
      <c r="J239" s="23">
        <f t="shared" si="37"/>
        <v>0</v>
      </c>
      <c r="K239" s="18">
        <f t="shared" si="38"/>
        <v>22.75</v>
      </c>
    </row>
    <row r="240" spans="1:11">
      <c r="A240" s="6">
        <v>227</v>
      </c>
      <c r="B240" s="27" t="s">
        <v>55</v>
      </c>
      <c r="C240" s="7" t="s">
        <v>47</v>
      </c>
      <c r="D240" s="68">
        <v>6</v>
      </c>
      <c r="E240" s="19"/>
      <c r="F240" s="19">
        <v>0.34</v>
      </c>
      <c r="G240" s="19"/>
      <c r="H240" s="18">
        <f t="shared" si="35"/>
        <v>0</v>
      </c>
      <c r="I240" s="18">
        <f t="shared" si="36"/>
        <v>2.04</v>
      </c>
      <c r="J240" s="23">
        <f t="shared" si="37"/>
        <v>0</v>
      </c>
      <c r="K240" s="18">
        <f t="shared" si="38"/>
        <v>2.04</v>
      </c>
    </row>
    <row r="241" spans="1:11">
      <c r="A241" s="6">
        <v>228</v>
      </c>
      <c r="B241" s="28" t="s">
        <v>103</v>
      </c>
      <c r="C241" s="29" t="s">
        <v>6</v>
      </c>
      <c r="D241" s="68">
        <v>6</v>
      </c>
      <c r="E241" s="19">
        <v>5.4</v>
      </c>
      <c r="F241" s="19"/>
      <c r="G241" s="19">
        <v>0.5</v>
      </c>
      <c r="H241" s="18">
        <f t="shared" si="35"/>
        <v>32.400000000000006</v>
      </c>
      <c r="I241" s="18">
        <f t="shared" si="36"/>
        <v>0</v>
      </c>
      <c r="J241" s="23">
        <f t="shared" si="37"/>
        <v>3</v>
      </c>
      <c r="K241" s="18">
        <f t="shared" si="38"/>
        <v>35.400000000000006</v>
      </c>
    </row>
    <row r="242" spans="1:11">
      <c r="A242" s="6">
        <v>229</v>
      </c>
      <c r="B242" s="27" t="s">
        <v>57</v>
      </c>
      <c r="C242" s="29" t="s">
        <v>6</v>
      </c>
      <c r="D242" s="68">
        <v>7</v>
      </c>
      <c r="E242" s="19"/>
      <c r="F242" s="19">
        <v>6.5</v>
      </c>
      <c r="G242" s="19"/>
      <c r="H242" s="18">
        <f t="shared" si="35"/>
        <v>0</v>
      </c>
      <c r="I242" s="18">
        <f t="shared" si="36"/>
        <v>45.5</v>
      </c>
      <c r="J242" s="23">
        <f t="shared" si="37"/>
        <v>0</v>
      </c>
      <c r="K242" s="18">
        <f t="shared" si="38"/>
        <v>45.5</v>
      </c>
    </row>
    <row r="243" spans="1:11">
      <c r="A243" s="6">
        <v>230</v>
      </c>
      <c r="B243" s="27" t="s">
        <v>58</v>
      </c>
      <c r="C243" s="7" t="s">
        <v>47</v>
      </c>
      <c r="D243" s="68">
        <v>24</v>
      </c>
      <c r="E243" s="19"/>
      <c r="F243" s="19">
        <v>0.23</v>
      </c>
      <c r="G243" s="19"/>
      <c r="H243" s="18">
        <f t="shared" si="35"/>
        <v>0</v>
      </c>
      <c r="I243" s="18">
        <f t="shared" si="36"/>
        <v>5.5200000000000005</v>
      </c>
      <c r="J243" s="23">
        <f t="shared" si="37"/>
        <v>0</v>
      </c>
      <c r="K243" s="18">
        <f t="shared" si="38"/>
        <v>5.5200000000000005</v>
      </c>
    </row>
    <row r="244" spans="1:11">
      <c r="A244" s="6">
        <v>231</v>
      </c>
      <c r="B244" s="27" t="s">
        <v>59</v>
      </c>
      <c r="C244" s="7" t="s">
        <v>47</v>
      </c>
      <c r="D244" s="68">
        <v>6</v>
      </c>
      <c r="E244" s="19"/>
      <c r="F244" s="19">
        <v>0.05</v>
      </c>
      <c r="G244" s="19"/>
      <c r="H244" s="18">
        <f t="shared" si="35"/>
        <v>0</v>
      </c>
      <c r="I244" s="18">
        <f t="shared" si="36"/>
        <v>0.30000000000000004</v>
      </c>
      <c r="J244" s="23">
        <f t="shared" si="37"/>
        <v>0</v>
      </c>
      <c r="K244" s="18">
        <f t="shared" si="38"/>
        <v>0.30000000000000004</v>
      </c>
    </row>
    <row r="245" spans="1:11">
      <c r="A245" s="6">
        <v>232</v>
      </c>
      <c r="B245" s="28" t="s">
        <v>104</v>
      </c>
      <c r="C245" s="29" t="s">
        <v>6</v>
      </c>
      <c r="D245" s="68">
        <v>22.5</v>
      </c>
      <c r="E245" s="19">
        <v>5.4</v>
      </c>
      <c r="F245" s="19"/>
      <c r="G245" s="19">
        <v>0.5</v>
      </c>
      <c r="H245" s="18">
        <f t="shared" si="35"/>
        <v>121.50000000000001</v>
      </c>
      <c r="I245" s="18">
        <f t="shared" si="36"/>
        <v>0</v>
      </c>
      <c r="J245" s="23">
        <f t="shared" si="37"/>
        <v>11.25</v>
      </c>
      <c r="K245" s="18">
        <f t="shared" si="38"/>
        <v>132.75</v>
      </c>
    </row>
    <row r="246" spans="1:11">
      <c r="A246" s="6">
        <v>233</v>
      </c>
      <c r="B246" s="27" t="s">
        <v>57</v>
      </c>
      <c r="C246" s="29" t="s">
        <v>6</v>
      </c>
      <c r="D246" s="68">
        <v>24</v>
      </c>
      <c r="E246" s="19"/>
      <c r="F246" s="19">
        <v>5.6</v>
      </c>
      <c r="G246" s="19"/>
      <c r="H246" s="18">
        <f t="shared" si="35"/>
        <v>0</v>
      </c>
      <c r="I246" s="18">
        <f t="shared" si="36"/>
        <v>134.39999999999998</v>
      </c>
      <c r="J246" s="23">
        <f t="shared" si="37"/>
        <v>0</v>
      </c>
      <c r="K246" s="18">
        <f t="shared" si="38"/>
        <v>134.39999999999998</v>
      </c>
    </row>
    <row r="247" spans="1:11">
      <c r="A247" s="6">
        <v>234</v>
      </c>
      <c r="B247" s="27" t="s">
        <v>58</v>
      </c>
      <c r="C247" s="7" t="s">
        <v>47</v>
      </c>
      <c r="D247" s="68">
        <v>90</v>
      </c>
      <c r="E247" s="19"/>
      <c r="F247" s="19">
        <v>0.23</v>
      </c>
      <c r="G247" s="19"/>
      <c r="H247" s="18">
        <f t="shared" si="35"/>
        <v>0</v>
      </c>
      <c r="I247" s="18">
        <f t="shared" si="36"/>
        <v>20.7</v>
      </c>
      <c r="J247" s="23">
        <f t="shared" si="37"/>
        <v>0</v>
      </c>
      <c r="K247" s="18">
        <f t="shared" si="38"/>
        <v>20.7</v>
      </c>
    </row>
    <row r="248" spans="1:11">
      <c r="A248" s="6">
        <v>235</v>
      </c>
      <c r="B248" s="27" t="s">
        <v>59</v>
      </c>
      <c r="C248" s="7" t="s">
        <v>47</v>
      </c>
      <c r="D248" s="68">
        <v>23</v>
      </c>
      <c r="E248" s="19"/>
      <c r="F248" s="19">
        <v>0.05</v>
      </c>
      <c r="G248" s="19"/>
      <c r="H248" s="18">
        <f t="shared" si="35"/>
        <v>0</v>
      </c>
      <c r="I248" s="18">
        <f t="shared" si="36"/>
        <v>1.1500000000000001</v>
      </c>
      <c r="J248" s="23">
        <f t="shared" si="37"/>
        <v>0</v>
      </c>
      <c r="K248" s="18">
        <f t="shared" si="38"/>
        <v>1.1500000000000001</v>
      </c>
    </row>
    <row r="249" spans="1:11">
      <c r="A249" s="6">
        <v>236</v>
      </c>
      <c r="B249" s="27" t="s">
        <v>85</v>
      </c>
      <c r="C249" s="29" t="s">
        <v>11</v>
      </c>
      <c r="D249" s="68">
        <v>4</v>
      </c>
      <c r="E249" s="19"/>
      <c r="F249" s="19">
        <v>2.19</v>
      </c>
      <c r="G249" s="19"/>
      <c r="H249" s="18">
        <f t="shared" si="35"/>
        <v>0</v>
      </c>
      <c r="I249" s="18">
        <f t="shared" si="36"/>
        <v>8.76</v>
      </c>
      <c r="J249" s="23">
        <f t="shared" si="37"/>
        <v>0</v>
      </c>
      <c r="K249" s="18">
        <f t="shared" si="38"/>
        <v>8.76</v>
      </c>
    </row>
    <row r="250" spans="1:11">
      <c r="A250" s="6">
        <v>237</v>
      </c>
      <c r="B250" s="28" t="s">
        <v>86</v>
      </c>
      <c r="C250" s="29" t="s">
        <v>11</v>
      </c>
      <c r="D250" s="68">
        <v>2</v>
      </c>
      <c r="E250" s="19"/>
      <c r="F250" s="19"/>
      <c r="G250" s="19"/>
      <c r="H250" s="18">
        <f t="shared" ref="H250:H289" si="39">D250*E250</f>
        <v>0</v>
      </c>
      <c r="I250" s="18">
        <f t="shared" ref="I250:I289" si="40">D250*F250</f>
        <v>0</v>
      </c>
      <c r="J250" s="23">
        <f t="shared" ref="J250:J289" si="41">D250*G250</f>
        <v>0</v>
      </c>
      <c r="K250" s="18">
        <f t="shared" ref="K250:K274" si="42">H250+I250+J250</f>
        <v>0</v>
      </c>
    </row>
    <row r="251" spans="1:11">
      <c r="A251" s="6">
        <v>238</v>
      </c>
      <c r="B251" s="13"/>
      <c r="C251" s="37"/>
      <c r="D251" s="68"/>
      <c r="E251" s="19"/>
      <c r="F251" s="19"/>
      <c r="G251" s="19"/>
      <c r="H251" s="18">
        <f t="shared" si="39"/>
        <v>0</v>
      </c>
      <c r="I251" s="18">
        <f t="shared" si="40"/>
        <v>0</v>
      </c>
      <c r="J251" s="23">
        <f t="shared" si="41"/>
        <v>0</v>
      </c>
      <c r="K251" s="18">
        <f t="shared" si="42"/>
        <v>0</v>
      </c>
    </row>
    <row r="252" spans="1:11">
      <c r="A252" s="6">
        <v>239</v>
      </c>
      <c r="B252" s="36" t="s">
        <v>105</v>
      </c>
      <c r="C252" s="37"/>
      <c r="D252" s="68"/>
      <c r="E252" s="19"/>
      <c r="F252" s="19"/>
      <c r="G252" s="19"/>
      <c r="H252" s="18">
        <f t="shared" si="39"/>
        <v>0</v>
      </c>
      <c r="I252" s="18">
        <f t="shared" si="40"/>
        <v>0</v>
      </c>
      <c r="J252" s="23">
        <f t="shared" si="41"/>
        <v>0</v>
      </c>
      <c r="K252" s="18">
        <f t="shared" si="42"/>
        <v>0</v>
      </c>
    </row>
    <row r="253" spans="1:11">
      <c r="A253" s="6">
        <v>240</v>
      </c>
      <c r="B253" s="38" t="s">
        <v>113</v>
      </c>
      <c r="C253" s="29" t="s">
        <v>114</v>
      </c>
      <c r="D253" s="68">
        <v>30</v>
      </c>
      <c r="E253" s="19">
        <v>1.35</v>
      </c>
      <c r="F253" s="19"/>
      <c r="G253" s="19">
        <v>0.2</v>
      </c>
      <c r="H253" s="18">
        <f t="shared" si="39"/>
        <v>40.5</v>
      </c>
      <c r="I253" s="18">
        <f t="shared" si="40"/>
        <v>0</v>
      </c>
      <c r="J253" s="23">
        <f t="shared" si="41"/>
        <v>6</v>
      </c>
      <c r="K253" s="18">
        <f t="shared" si="42"/>
        <v>46.5</v>
      </c>
    </row>
    <row r="254" spans="1:11">
      <c r="A254" s="6">
        <v>241</v>
      </c>
      <c r="B254" s="27" t="s">
        <v>164</v>
      </c>
      <c r="C254" s="29" t="s">
        <v>11</v>
      </c>
      <c r="D254" s="68">
        <v>6.5</v>
      </c>
      <c r="E254" s="19"/>
      <c r="F254" s="19">
        <v>26.1</v>
      </c>
      <c r="G254" s="19"/>
      <c r="H254" s="18">
        <f t="shared" si="39"/>
        <v>0</v>
      </c>
      <c r="I254" s="18">
        <f t="shared" si="40"/>
        <v>169.65</v>
      </c>
      <c r="J254" s="23">
        <f t="shared" si="41"/>
        <v>0</v>
      </c>
      <c r="K254" s="18">
        <f t="shared" si="42"/>
        <v>169.65</v>
      </c>
    </row>
    <row r="255" spans="1:11">
      <c r="A255" s="6">
        <v>242</v>
      </c>
      <c r="B255" s="27" t="s">
        <v>192</v>
      </c>
      <c r="C255" s="29" t="s">
        <v>11</v>
      </c>
      <c r="D255" s="68">
        <v>2</v>
      </c>
      <c r="E255" s="19"/>
      <c r="F255" s="19">
        <v>48.31</v>
      </c>
      <c r="G255" s="19"/>
      <c r="H255" s="18">
        <f t="shared" si="39"/>
        <v>0</v>
      </c>
      <c r="I255" s="18">
        <f t="shared" si="40"/>
        <v>96.62</v>
      </c>
      <c r="J255" s="23">
        <f t="shared" si="41"/>
        <v>0</v>
      </c>
      <c r="K255" s="18">
        <f t="shared" si="42"/>
        <v>96.62</v>
      </c>
    </row>
    <row r="256" spans="1:11">
      <c r="A256" s="6">
        <v>243</v>
      </c>
      <c r="B256" s="38" t="s">
        <v>174</v>
      </c>
      <c r="C256" s="37"/>
      <c r="D256" s="68"/>
      <c r="E256" s="19"/>
      <c r="F256" s="19"/>
      <c r="G256" s="19"/>
      <c r="H256" s="18">
        <f t="shared" si="39"/>
        <v>0</v>
      </c>
      <c r="I256" s="18">
        <f t="shared" si="40"/>
        <v>0</v>
      </c>
      <c r="J256" s="23">
        <f t="shared" si="41"/>
        <v>0</v>
      </c>
      <c r="K256" s="18">
        <f t="shared" si="42"/>
        <v>0</v>
      </c>
    </row>
    <row r="257" spans="1:13">
      <c r="A257" s="6">
        <v>244</v>
      </c>
      <c r="B257" s="27" t="s">
        <v>106</v>
      </c>
      <c r="C257" s="29" t="s">
        <v>6</v>
      </c>
      <c r="D257" s="68">
        <v>570</v>
      </c>
      <c r="E257" s="19">
        <v>1.85</v>
      </c>
      <c r="F257" s="19"/>
      <c r="G257" s="19">
        <v>0.15</v>
      </c>
      <c r="H257" s="18">
        <f t="shared" si="39"/>
        <v>1054.5</v>
      </c>
      <c r="I257" s="18">
        <f t="shared" si="40"/>
        <v>0</v>
      </c>
      <c r="J257" s="23">
        <f t="shared" si="41"/>
        <v>85.5</v>
      </c>
      <c r="K257" s="18">
        <f t="shared" si="42"/>
        <v>1140</v>
      </c>
    </row>
    <row r="258" spans="1:13">
      <c r="A258" s="6">
        <v>245</v>
      </c>
      <c r="B258" s="27" t="s">
        <v>107</v>
      </c>
      <c r="C258" s="29" t="s">
        <v>6</v>
      </c>
      <c r="D258" s="68">
        <v>249</v>
      </c>
      <c r="E258" s="19">
        <v>2.0499999999999998</v>
      </c>
      <c r="F258" s="19"/>
      <c r="G258" s="19">
        <v>0.15</v>
      </c>
      <c r="H258" s="18">
        <f t="shared" si="39"/>
        <v>510.44999999999993</v>
      </c>
      <c r="I258" s="18">
        <f t="shared" si="40"/>
        <v>0</v>
      </c>
      <c r="J258" s="23">
        <f t="shared" si="41"/>
        <v>37.35</v>
      </c>
      <c r="K258" s="18">
        <f t="shared" si="42"/>
        <v>547.79999999999995</v>
      </c>
    </row>
    <row r="259" spans="1:13">
      <c r="A259" s="6">
        <v>246</v>
      </c>
      <c r="B259" s="15" t="s">
        <v>108</v>
      </c>
      <c r="C259" s="7" t="s">
        <v>47</v>
      </c>
      <c r="D259" s="68">
        <v>200</v>
      </c>
      <c r="E259" s="19"/>
      <c r="F259" s="19">
        <v>0.33</v>
      </c>
      <c r="G259" s="19"/>
      <c r="H259" s="18">
        <f t="shared" si="39"/>
        <v>0</v>
      </c>
      <c r="I259" s="18">
        <f t="shared" si="40"/>
        <v>66</v>
      </c>
      <c r="J259" s="23">
        <f t="shared" si="41"/>
        <v>0</v>
      </c>
      <c r="K259" s="18">
        <f t="shared" si="42"/>
        <v>66</v>
      </c>
    </row>
    <row r="260" spans="1:13">
      <c r="A260" s="6">
        <v>247</v>
      </c>
      <c r="B260" s="27" t="s">
        <v>109</v>
      </c>
      <c r="C260" s="29" t="s">
        <v>6</v>
      </c>
      <c r="D260" s="68">
        <v>382</v>
      </c>
      <c r="E260" s="19"/>
      <c r="F260" s="19">
        <v>2.57</v>
      </c>
      <c r="G260" s="19"/>
      <c r="H260" s="18">
        <f t="shared" si="39"/>
        <v>0</v>
      </c>
      <c r="I260" s="18">
        <f t="shared" si="40"/>
        <v>981.7399999999999</v>
      </c>
      <c r="J260" s="23">
        <f t="shared" si="41"/>
        <v>0</v>
      </c>
      <c r="K260" s="18">
        <f t="shared" si="42"/>
        <v>981.7399999999999</v>
      </c>
    </row>
    <row r="261" spans="1:13">
      <c r="A261" s="6">
        <v>248</v>
      </c>
      <c r="B261" s="28" t="s">
        <v>152</v>
      </c>
      <c r="C261" s="29" t="s">
        <v>6</v>
      </c>
      <c r="D261" s="68">
        <v>85.5</v>
      </c>
      <c r="E261" s="19">
        <v>2.5</v>
      </c>
      <c r="F261" s="19"/>
      <c r="G261" s="19"/>
      <c r="H261" s="18">
        <f t="shared" si="39"/>
        <v>213.75</v>
      </c>
      <c r="I261" s="18">
        <f t="shared" si="40"/>
        <v>0</v>
      </c>
      <c r="J261" s="23">
        <f t="shared" si="41"/>
        <v>0</v>
      </c>
      <c r="K261" s="18">
        <f t="shared" si="42"/>
        <v>213.75</v>
      </c>
    </row>
    <row r="262" spans="1:13">
      <c r="A262" s="6">
        <v>249</v>
      </c>
      <c r="B262" s="27" t="s">
        <v>110</v>
      </c>
      <c r="C262" s="7" t="s">
        <v>47</v>
      </c>
      <c r="D262" s="68">
        <v>58</v>
      </c>
      <c r="E262" s="19"/>
      <c r="F262" s="19">
        <v>2.57</v>
      </c>
      <c r="G262" s="19"/>
      <c r="H262" s="18">
        <f t="shared" si="39"/>
        <v>0</v>
      </c>
      <c r="I262" s="18">
        <f t="shared" si="40"/>
        <v>149.06</v>
      </c>
      <c r="J262" s="23">
        <f t="shared" si="41"/>
        <v>0</v>
      </c>
      <c r="K262" s="18">
        <f t="shared" si="42"/>
        <v>149.06</v>
      </c>
    </row>
    <row r="263" spans="1:13">
      <c r="A263" s="6">
        <v>250</v>
      </c>
      <c r="B263" s="28" t="s">
        <v>111</v>
      </c>
      <c r="C263" s="29" t="s">
        <v>6</v>
      </c>
      <c r="D263" s="68"/>
      <c r="E263" s="19">
        <v>0.7</v>
      </c>
      <c r="F263" s="19"/>
      <c r="G263" s="19"/>
      <c r="H263" s="18">
        <f t="shared" si="39"/>
        <v>0</v>
      </c>
      <c r="I263" s="18">
        <f t="shared" si="40"/>
        <v>0</v>
      </c>
      <c r="J263" s="23">
        <f t="shared" si="41"/>
        <v>0</v>
      </c>
      <c r="K263" s="18">
        <f t="shared" si="42"/>
        <v>0</v>
      </c>
    </row>
    <row r="264" spans="1:13">
      <c r="A264" s="6">
        <v>251</v>
      </c>
      <c r="B264" s="27" t="s">
        <v>112</v>
      </c>
      <c r="C264" s="29" t="s">
        <v>6</v>
      </c>
      <c r="D264" s="68"/>
      <c r="E264" s="19"/>
      <c r="F264" s="19"/>
      <c r="G264" s="19"/>
      <c r="H264" s="18">
        <f t="shared" si="39"/>
        <v>0</v>
      </c>
      <c r="I264" s="18">
        <f t="shared" si="40"/>
        <v>0</v>
      </c>
      <c r="J264" s="23">
        <f t="shared" si="41"/>
        <v>0</v>
      </c>
      <c r="K264" s="18">
        <f t="shared" si="42"/>
        <v>0</v>
      </c>
    </row>
    <row r="265" spans="1:13">
      <c r="A265" s="6">
        <v>252</v>
      </c>
      <c r="B265" s="28" t="s">
        <v>115</v>
      </c>
      <c r="C265" s="29" t="s">
        <v>6</v>
      </c>
      <c r="D265" s="68">
        <v>155.5</v>
      </c>
      <c r="E265" s="19">
        <v>10.4</v>
      </c>
      <c r="F265" s="19"/>
      <c r="G265" s="19">
        <v>0.53</v>
      </c>
      <c r="H265" s="18">
        <f>D265*E265</f>
        <v>1617.2</v>
      </c>
      <c r="I265" s="18">
        <f>D265*F265</f>
        <v>0</v>
      </c>
      <c r="J265" s="23">
        <f>D265*G265</f>
        <v>82.415000000000006</v>
      </c>
      <c r="K265" s="18">
        <f t="shared" si="42"/>
        <v>1699.615</v>
      </c>
      <c r="M265" s="18">
        <f>J265+K265+L265</f>
        <v>1782.03</v>
      </c>
    </row>
    <row r="266" spans="1:13">
      <c r="A266" s="6">
        <v>253</v>
      </c>
      <c r="B266" s="27" t="s">
        <v>116</v>
      </c>
      <c r="C266" s="29" t="s">
        <v>6</v>
      </c>
      <c r="D266" s="68">
        <v>160</v>
      </c>
      <c r="E266" s="19"/>
      <c r="F266" s="19">
        <v>11.8</v>
      </c>
      <c r="G266" s="19"/>
      <c r="H266" s="18">
        <f t="shared" si="39"/>
        <v>0</v>
      </c>
      <c r="I266" s="18">
        <f t="shared" si="40"/>
        <v>1888</v>
      </c>
      <c r="J266" s="23">
        <f t="shared" si="41"/>
        <v>0</v>
      </c>
      <c r="K266" s="18">
        <f t="shared" si="42"/>
        <v>1888</v>
      </c>
      <c r="M266" s="18">
        <f>J266+K266+L266</f>
        <v>1888</v>
      </c>
    </row>
    <row r="267" spans="1:13">
      <c r="A267" s="6">
        <v>254</v>
      </c>
      <c r="B267" s="27" t="s">
        <v>117</v>
      </c>
      <c r="C267" s="7" t="s">
        <v>47</v>
      </c>
      <c r="D267" s="68"/>
      <c r="E267" s="19"/>
      <c r="F267" s="19"/>
      <c r="G267" s="19"/>
      <c r="H267" s="18">
        <f t="shared" si="39"/>
        <v>0</v>
      </c>
      <c r="I267" s="18">
        <f t="shared" si="40"/>
        <v>0</v>
      </c>
      <c r="J267" s="23">
        <f t="shared" si="41"/>
        <v>0</v>
      </c>
      <c r="K267" s="18">
        <f t="shared" si="42"/>
        <v>0</v>
      </c>
      <c r="M267" s="18">
        <f>J267+K267+L267</f>
        <v>0</v>
      </c>
    </row>
    <row r="268" spans="1:13">
      <c r="A268" s="6">
        <v>255</v>
      </c>
      <c r="B268" s="15" t="s">
        <v>118</v>
      </c>
      <c r="C268" s="7" t="s">
        <v>47</v>
      </c>
      <c r="D268" s="68"/>
      <c r="E268" s="19"/>
      <c r="F268" s="19"/>
      <c r="G268" s="19"/>
      <c r="H268" s="18">
        <f t="shared" si="39"/>
        <v>0</v>
      </c>
      <c r="I268" s="18">
        <f t="shared" si="40"/>
        <v>0</v>
      </c>
      <c r="J268" s="23">
        <f t="shared" si="41"/>
        <v>0</v>
      </c>
      <c r="K268" s="18">
        <f t="shared" si="42"/>
        <v>0</v>
      </c>
      <c r="M268" s="18">
        <f>J268+K268+L268</f>
        <v>0</v>
      </c>
    </row>
    <row r="269" spans="1:13">
      <c r="A269" s="6">
        <v>256</v>
      </c>
      <c r="B269" s="15" t="s">
        <v>119</v>
      </c>
      <c r="C269" s="7" t="s">
        <v>47</v>
      </c>
      <c r="D269" s="68">
        <v>60</v>
      </c>
      <c r="E269" s="19"/>
      <c r="F269" s="19">
        <v>4.8</v>
      </c>
      <c r="G269" s="19"/>
      <c r="H269" s="18">
        <f t="shared" si="39"/>
        <v>0</v>
      </c>
      <c r="I269" s="18">
        <f t="shared" si="40"/>
        <v>288</v>
      </c>
      <c r="J269" s="23">
        <f t="shared" si="41"/>
        <v>0</v>
      </c>
      <c r="K269" s="18">
        <f t="shared" si="42"/>
        <v>288</v>
      </c>
      <c r="M269" s="18">
        <f>J269+K269+L269</f>
        <v>288</v>
      </c>
    </row>
    <row r="270" spans="1:13">
      <c r="A270" s="6">
        <v>257</v>
      </c>
      <c r="B270" s="28" t="s">
        <v>120</v>
      </c>
      <c r="C270" s="7" t="s">
        <v>114</v>
      </c>
      <c r="D270" s="68">
        <v>252</v>
      </c>
      <c r="E270" s="19">
        <v>1.1000000000000001</v>
      </c>
      <c r="F270" s="19"/>
      <c r="G270" s="19">
        <v>0.11</v>
      </c>
      <c r="H270" s="18">
        <f t="shared" si="39"/>
        <v>277.20000000000005</v>
      </c>
      <c r="I270" s="18">
        <f t="shared" si="40"/>
        <v>0</v>
      </c>
      <c r="J270" s="23">
        <f t="shared" si="41"/>
        <v>27.72</v>
      </c>
      <c r="K270" s="18">
        <f t="shared" si="42"/>
        <v>304.92000000000007</v>
      </c>
      <c r="M270" s="46">
        <f>SUM(M265:M269)</f>
        <v>3958.0299999999997</v>
      </c>
    </row>
    <row r="271" spans="1:13">
      <c r="A271" s="6">
        <v>258</v>
      </c>
      <c r="B271" s="27" t="s">
        <v>121</v>
      </c>
      <c r="C271" s="7" t="s">
        <v>114</v>
      </c>
      <c r="D271" s="68">
        <v>162</v>
      </c>
      <c r="E271" s="19"/>
      <c r="F271" s="19">
        <v>1.85</v>
      </c>
      <c r="G271" s="19"/>
      <c r="H271" s="18">
        <f t="shared" si="39"/>
        <v>0</v>
      </c>
      <c r="I271" s="18">
        <f t="shared" si="40"/>
        <v>299.7</v>
      </c>
      <c r="J271" s="23">
        <f t="shared" si="41"/>
        <v>0</v>
      </c>
      <c r="K271" s="18">
        <f t="shared" si="42"/>
        <v>299.7</v>
      </c>
    </row>
    <row r="272" spans="1:13">
      <c r="A272" s="6">
        <v>259</v>
      </c>
      <c r="B272" s="27" t="s">
        <v>122</v>
      </c>
      <c r="C272" s="7" t="s">
        <v>114</v>
      </c>
      <c r="D272" s="68">
        <v>90</v>
      </c>
      <c r="E272" s="19"/>
      <c r="F272" s="19">
        <v>1.85</v>
      </c>
      <c r="G272" s="19"/>
      <c r="H272" s="18">
        <f t="shared" si="39"/>
        <v>0</v>
      </c>
      <c r="I272" s="18">
        <f t="shared" si="40"/>
        <v>166.5</v>
      </c>
      <c r="J272" s="23">
        <f t="shared" si="41"/>
        <v>0</v>
      </c>
      <c r="K272" s="18">
        <f t="shared" si="42"/>
        <v>166.5</v>
      </c>
    </row>
    <row r="273" spans="1:11">
      <c r="A273" s="6">
        <v>260</v>
      </c>
      <c r="B273" s="27" t="s">
        <v>39</v>
      </c>
      <c r="C273" s="7" t="s">
        <v>83</v>
      </c>
      <c r="D273" s="68">
        <v>252</v>
      </c>
      <c r="E273" s="19"/>
      <c r="F273" s="19">
        <v>0.44</v>
      </c>
      <c r="G273" s="19"/>
      <c r="H273" s="18">
        <f t="shared" si="39"/>
        <v>0</v>
      </c>
      <c r="I273" s="18">
        <f t="shared" si="40"/>
        <v>110.88</v>
      </c>
      <c r="J273" s="23">
        <f t="shared" si="41"/>
        <v>0</v>
      </c>
      <c r="K273" s="18">
        <f t="shared" si="42"/>
        <v>110.88</v>
      </c>
    </row>
    <row r="274" spans="1:11">
      <c r="A274" s="6">
        <v>261</v>
      </c>
      <c r="B274" s="15" t="s">
        <v>119</v>
      </c>
      <c r="C274" s="7" t="s">
        <v>47</v>
      </c>
      <c r="D274" s="68">
        <v>20</v>
      </c>
      <c r="E274" s="19"/>
      <c r="F274" s="19">
        <v>4.8</v>
      </c>
      <c r="G274" s="19"/>
      <c r="H274" s="18">
        <f t="shared" si="39"/>
        <v>0</v>
      </c>
      <c r="I274" s="18">
        <f t="shared" si="40"/>
        <v>96</v>
      </c>
      <c r="J274" s="23">
        <f t="shared" si="41"/>
        <v>0</v>
      </c>
      <c r="K274" s="18">
        <f t="shared" si="42"/>
        <v>96</v>
      </c>
    </row>
    <row r="275" spans="1:11">
      <c r="A275" s="6"/>
      <c r="B275" s="15"/>
      <c r="C275" s="7"/>
      <c r="D275" s="68"/>
      <c r="E275" s="19"/>
      <c r="F275" s="19"/>
      <c r="G275" s="19"/>
      <c r="H275" s="18"/>
      <c r="I275" s="18"/>
      <c r="J275" s="23"/>
      <c r="K275" s="18"/>
    </row>
    <row r="276" spans="1:11">
      <c r="A276" s="6">
        <v>262</v>
      </c>
      <c r="B276" s="36" t="s">
        <v>123</v>
      </c>
      <c r="C276" s="7"/>
      <c r="D276" s="68"/>
      <c r="E276" s="19"/>
      <c r="F276" s="19"/>
      <c r="G276" s="19"/>
      <c r="H276" s="18">
        <f t="shared" si="39"/>
        <v>0</v>
      </c>
      <c r="I276" s="18">
        <f t="shared" si="40"/>
        <v>0</v>
      </c>
      <c r="J276" s="23">
        <f t="shared" si="41"/>
        <v>0</v>
      </c>
      <c r="K276" s="18">
        <f t="shared" ref="K276:K290" si="43">H276+I276+J276</f>
        <v>0</v>
      </c>
    </row>
    <row r="277" spans="1:11">
      <c r="A277" s="6">
        <v>263</v>
      </c>
      <c r="B277" s="28" t="s">
        <v>173</v>
      </c>
      <c r="C277" s="29" t="s">
        <v>6</v>
      </c>
      <c r="D277" s="68">
        <v>200</v>
      </c>
      <c r="E277" s="19">
        <v>4.75</v>
      </c>
      <c r="F277" s="19"/>
      <c r="G277" s="19"/>
      <c r="H277" s="18">
        <f t="shared" si="39"/>
        <v>950</v>
      </c>
      <c r="I277" s="18">
        <f t="shared" si="40"/>
        <v>0</v>
      </c>
      <c r="J277" s="23">
        <f t="shared" si="41"/>
        <v>0</v>
      </c>
      <c r="K277" s="18">
        <f t="shared" si="43"/>
        <v>950</v>
      </c>
    </row>
    <row r="278" spans="1:11">
      <c r="A278" s="6">
        <v>264</v>
      </c>
      <c r="B278" s="27" t="s">
        <v>136</v>
      </c>
      <c r="C278" s="7" t="s">
        <v>13</v>
      </c>
      <c r="D278" s="68">
        <v>4</v>
      </c>
      <c r="E278" s="19"/>
      <c r="F278" s="19">
        <v>23</v>
      </c>
      <c r="G278" s="19"/>
      <c r="H278" s="18">
        <f t="shared" si="39"/>
        <v>0</v>
      </c>
      <c r="I278" s="18">
        <f t="shared" si="40"/>
        <v>92</v>
      </c>
      <c r="J278" s="23">
        <f t="shared" si="41"/>
        <v>0</v>
      </c>
      <c r="K278" s="18">
        <f t="shared" si="43"/>
        <v>92</v>
      </c>
    </row>
    <row r="279" spans="1:11">
      <c r="A279" s="6">
        <v>265</v>
      </c>
      <c r="B279" s="27" t="s">
        <v>92</v>
      </c>
      <c r="C279" s="29" t="s">
        <v>6</v>
      </c>
      <c r="D279" s="68">
        <v>200</v>
      </c>
      <c r="E279" s="19"/>
      <c r="F279" s="19">
        <v>0.45</v>
      </c>
      <c r="G279" s="19"/>
      <c r="H279" s="18">
        <f t="shared" si="39"/>
        <v>0</v>
      </c>
      <c r="I279" s="18">
        <f t="shared" si="40"/>
        <v>90</v>
      </c>
      <c r="J279" s="23">
        <f t="shared" si="41"/>
        <v>0</v>
      </c>
      <c r="K279" s="18">
        <f t="shared" si="43"/>
        <v>90</v>
      </c>
    </row>
    <row r="280" spans="1:11">
      <c r="A280" s="6">
        <v>266</v>
      </c>
      <c r="B280" s="27" t="s">
        <v>124</v>
      </c>
      <c r="C280" s="7" t="s">
        <v>47</v>
      </c>
      <c r="D280" s="68">
        <v>400</v>
      </c>
      <c r="E280" s="19"/>
      <c r="F280" s="19">
        <v>0.28000000000000003</v>
      </c>
      <c r="G280" s="19"/>
      <c r="H280" s="18">
        <f t="shared" si="39"/>
        <v>0</v>
      </c>
      <c r="I280" s="18">
        <f t="shared" si="40"/>
        <v>112.00000000000001</v>
      </c>
      <c r="J280" s="23">
        <f t="shared" si="41"/>
        <v>0</v>
      </c>
      <c r="K280" s="18">
        <f t="shared" si="43"/>
        <v>112.00000000000001</v>
      </c>
    </row>
    <row r="281" spans="1:11">
      <c r="A281" s="6">
        <v>267</v>
      </c>
      <c r="B281" s="27" t="s">
        <v>196</v>
      </c>
      <c r="C281" s="7" t="s">
        <v>83</v>
      </c>
      <c r="D281" s="68">
        <v>900</v>
      </c>
      <c r="E281" s="19"/>
      <c r="F281" s="19">
        <v>0.22</v>
      </c>
      <c r="G281" s="19"/>
      <c r="H281" s="18">
        <f>D281*E281</f>
        <v>0</v>
      </c>
      <c r="I281" s="18">
        <f>D281*F281</f>
        <v>198</v>
      </c>
      <c r="J281" s="23">
        <f>D281*G281</f>
        <v>0</v>
      </c>
      <c r="K281" s="18">
        <f t="shared" si="43"/>
        <v>198</v>
      </c>
    </row>
    <row r="282" spans="1:11">
      <c r="A282" s="6">
        <v>268</v>
      </c>
      <c r="B282" s="28" t="s">
        <v>125</v>
      </c>
      <c r="C282" s="29" t="s">
        <v>6</v>
      </c>
      <c r="D282" s="68">
        <v>200</v>
      </c>
      <c r="E282" s="19"/>
      <c r="F282" s="19"/>
      <c r="G282" s="19"/>
      <c r="H282" s="18">
        <f t="shared" si="39"/>
        <v>0</v>
      </c>
      <c r="I282" s="18">
        <f t="shared" si="40"/>
        <v>0</v>
      </c>
      <c r="J282" s="23">
        <f t="shared" si="41"/>
        <v>0</v>
      </c>
      <c r="K282" s="18">
        <f t="shared" si="43"/>
        <v>0</v>
      </c>
    </row>
    <row r="283" spans="1:11">
      <c r="A283" s="6">
        <v>269</v>
      </c>
      <c r="B283" s="27" t="s">
        <v>193</v>
      </c>
      <c r="C283" s="7" t="s">
        <v>47</v>
      </c>
      <c r="D283" s="68">
        <v>627</v>
      </c>
      <c r="E283" s="19"/>
      <c r="F283" s="19">
        <v>0.42</v>
      </c>
      <c r="G283" s="19"/>
      <c r="H283" s="18">
        <f t="shared" si="39"/>
        <v>0</v>
      </c>
      <c r="I283" s="18">
        <f t="shared" si="40"/>
        <v>263.33999999999997</v>
      </c>
      <c r="J283" s="23">
        <f t="shared" si="41"/>
        <v>0</v>
      </c>
      <c r="K283" s="18">
        <f t="shared" si="43"/>
        <v>263.33999999999997</v>
      </c>
    </row>
    <row r="284" spans="1:11">
      <c r="A284" s="6">
        <v>270</v>
      </c>
      <c r="B284" s="27" t="s">
        <v>194</v>
      </c>
      <c r="C284" s="7" t="s">
        <v>47</v>
      </c>
      <c r="D284" s="68">
        <v>130</v>
      </c>
      <c r="E284" s="19"/>
      <c r="F284" s="19">
        <v>1.52</v>
      </c>
      <c r="G284" s="19"/>
      <c r="H284" s="18">
        <f t="shared" si="39"/>
        <v>0</v>
      </c>
      <c r="I284" s="18">
        <f t="shared" si="40"/>
        <v>197.6</v>
      </c>
      <c r="J284" s="23">
        <f t="shared" si="41"/>
        <v>0</v>
      </c>
      <c r="K284" s="18">
        <f t="shared" si="43"/>
        <v>197.6</v>
      </c>
    </row>
    <row r="285" spans="1:11">
      <c r="A285" s="6">
        <v>271</v>
      </c>
      <c r="B285" s="28" t="s">
        <v>126</v>
      </c>
      <c r="C285" s="7" t="s">
        <v>114</v>
      </c>
      <c r="D285" s="68">
        <v>97</v>
      </c>
      <c r="E285" s="19">
        <v>0.65</v>
      </c>
      <c r="F285" s="19"/>
      <c r="G285" s="19">
        <v>0.05</v>
      </c>
      <c r="H285" s="18">
        <f t="shared" si="39"/>
        <v>63.050000000000004</v>
      </c>
      <c r="I285" s="18">
        <f t="shared" si="40"/>
        <v>0</v>
      </c>
      <c r="J285" s="23">
        <f t="shared" si="41"/>
        <v>4.8500000000000005</v>
      </c>
      <c r="K285" s="18">
        <f t="shared" si="43"/>
        <v>67.900000000000006</v>
      </c>
    </row>
    <row r="286" spans="1:11">
      <c r="A286" s="6">
        <v>272</v>
      </c>
      <c r="B286" s="27" t="s">
        <v>127</v>
      </c>
      <c r="C286" s="7" t="s">
        <v>114</v>
      </c>
      <c r="D286" s="68">
        <v>97</v>
      </c>
      <c r="E286" s="19"/>
      <c r="F286" s="19">
        <v>1.38</v>
      </c>
      <c r="G286" s="19"/>
      <c r="H286" s="18">
        <f t="shared" si="39"/>
        <v>0</v>
      </c>
      <c r="I286" s="18">
        <f t="shared" si="40"/>
        <v>133.85999999999999</v>
      </c>
      <c r="J286" s="23">
        <f t="shared" si="41"/>
        <v>0</v>
      </c>
      <c r="K286" s="18">
        <f t="shared" si="43"/>
        <v>133.85999999999999</v>
      </c>
    </row>
    <row r="287" spans="1:11">
      <c r="A287" s="6">
        <v>273</v>
      </c>
      <c r="B287" s="27" t="s">
        <v>128</v>
      </c>
      <c r="C287" s="7" t="s">
        <v>83</v>
      </c>
      <c r="D287" s="68">
        <v>97</v>
      </c>
      <c r="E287" s="19"/>
      <c r="F287" s="19">
        <v>0.36</v>
      </c>
      <c r="G287" s="19"/>
      <c r="H287" s="18">
        <f t="shared" si="39"/>
        <v>0</v>
      </c>
      <c r="I287" s="18">
        <f t="shared" si="40"/>
        <v>34.92</v>
      </c>
      <c r="J287" s="23">
        <f t="shared" si="41"/>
        <v>0</v>
      </c>
      <c r="K287" s="18">
        <f t="shared" si="43"/>
        <v>34.92</v>
      </c>
    </row>
    <row r="288" spans="1:11">
      <c r="A288" s="6">
        <v>274</v>
      </c>
      <c r="B288" s="27"/>
      <c r="C288" s="7"/>
      <c r="D288" s="68"/>
      <c r="E288" s="19"/>
      <c r="F288" s="19"/>
      <c r="G288" s="19"/>
      <c r="H288" s="18">
        <f>D288*E288</f>
        <v>0</v>
      </c>
      <c r="I288" s="18">
        <f>D288*F288</f>
        <v>0</v>
      </c>
      <c r="J288" s="23">
        <f>D288*G288</f>
        <v>0</v>
      </c>
      <c r="K288" s="18">
        <f t="shared" si="43"/>
        <v>0</v>
      </c>
    </row>
    <row r="289" spans="1:11">
      <c r="A289" s="6">
        <v>275</v>
      </c>
      <c r="B289" s="28" t="s">
        <v>195</v>
      </c>
      <c r="C289" s="29" t="s">
        <v>6</v>
      </c>
      <c r="D289" s="68">
        <v>16.5</v>
      </c>
      <c r="E289" s="19">
        <v>6.7</v>
      </c>
      <c r="F289" s="19">
        <v>39.6</v>
      </c>
      <c r="G289" s="19">
        <v>0.67</v>
      </c>
      <c r="H289" s="18">
        <f t="shared" si="39"/>
        <v>110.55</v>
      </c>
      <c r="I289" s="18">
        <f t="shared" si="40"/>
        <v>653.4</v>
      </c>
      <c r="J289" s="23">
        <f t="shared" si="41"/>
        <v>11.055000000000001</v>
      </c>
      <c r="K289" s="18">
        <f t="shared" si="43"/>
        <v>775.00499999999988</v>
      </c>
    </row>
    <row r="290" spans="1:11">
      <c r="A290" s="6">
        <v>276</v>
      </c>
      <c r="B290" s="28" t="s">
        <v>177</v>
      </c>
      <c r="C290" s="29" t="s">
        <v>6</v>
      </c>
      <c r="D290" s="68">
        <v>52</v>
      </c>
      <c r="E290" s="19"/>
      <c r="F290" s="19">
        <v>35</v>
      </c>
      <c r="G290" s="19"/>
      <c r="H290" s="18">
        <f>D290*E290</f>
        <v>0</v>
      </c>
      <c r="I290" s="18">
        <f>D290*F290</f>
        <v>1820</v>
      </c>
      <c r="J290" s="23">
        <f>D290*G290</f>
        <v>0</v>
      </c>
      <c r="K290" s="18">
        <f t="shared" si="43"/>
        <v>1820</v>
      </c>
    </row>
    <row r="291" spans="1:11">
      <c r="A291" s="6">
        <v>277</v>
      </c>
      <c r="B291" s="28"/>
      <c r="C291" s="7"/>
      <c r="D291" s="68"/>
      <c r="E291" s="19"/>
      <c r="F291" s="19"/>
      <c r="G291" s="19"/>
      <c r="H291" s="18">
        <f t="shared" ref="H291:H300" si="44">D291*E291</f>
        <v>0</v>
      </c>
      <c r="I291" s="18">
        <f t="shared" ref="I291:I300" si="45">D291*F291</f>
        <v>0</v>
      </c>
      <c r="J291" s="23">
        <f t="shared" ref="J291:J300" si="46">D291*G291</f>
        <v>0</v>
      </c>
      <c r="K291" s="18">
        <f t="shared" ref="K291:K300" si="47">H291+I291+J291</f>
        <v>0</v>
      </c>
    </row>
    <row r="292" spans="1:11">
      <c r="A292" s="6">
        <v>278</v>
      </c>
      <c r="B292" s="36" t="s">
        <v>150</v>
      </c>
      <c r="C292" s="7"/>
      <c r="D292" s="68">
        <v>1</v>
      </c>
      <c r="E292" s="19"/>
      <c r="F292" s="69">
        <v>4500</v>
      </c>
      <c r="G292" s="19"/>
      <c r="H292" s="18">
        <f t="shared" si="44"/>
        <v>0</v>
      </c>
      <c r="I292" s="18">
        <f t="shared" si="45"/>
        <v>4500</v>
      </c>
      <c r="J292" s="23">
        <f t="shared" si="46"/>
        <v>0</v>
      </c>
      <c r="K292" s="18">
        <f t="shared" si="47"/>
        <v>4500</v>
      </c>
    </row>
    <row r="293" spans="1:11">
      <c r="A293" s="6">
        <v>279</v>
      </c>
      <c r="B293" s="36"/>
      <c r="C293" s="7"/>
      <c r="D293" s="68"/>
      <c r="E293" s="19"/>
      <c r="F293" s="69"/>
      <c r="G293" s="19"/>
      <c r="H293" s="18">
        <f t="shared" si="44"/>
        <v>0</v>
      </c>
      <c r="I293" s="18">
        <f t="shared" si="45"/>
        <v>0</v>
      </c>
      <c r="J293" s="23">
        <f t="shared" si="46"/>
        <v>0</v>
      </c>
      <c r="K293" s="18">
        <f t="shared" si="47"/>
        <v>0</v>
      </c>
    </row>
    <row r="294" spans="1:11">
      <c r="A294" s="6">
        <v>280</v>
      </c>
      <c r="B294" s="36" t="s">
        <v>151</v>
      </c>
      <c r="C294" s="7"/>
      <c r="D294" s="68">
        <v>1</v>
      </c>
      <c r="E294" s="19"/>
      <c r="F294" s="69">
        <v>2440</v>
      </c>
      <c r="G294" s="19"/>
      <c r="H294" s="18">
        <f t="shared" si="44"/>
        <v>0</v>
      </c>
      <c r="I294" s="18">
        <f t="shared" si="45"/>
        <v>2440</v>
      </c>
      <c r="J294" s="23">
        <f t="shared" si="46"/>
        <v>0</v>
      </c>
      <c r="K294" s="18">
        <f t="shared" si="47"/>
        <v>2440</v>
      </c>
    </row>
    <row r="295" spans="1:11">
      <c r="A295" s="6">
        <v>281</v>
      </c>
      <c r="B295" s="28" t="s">
        <v>153</v>
      </c>
      <c r="C295" s="7" t="s">
        <v>13</v>
      </c>
      <c r="D295" s="68"/>
      <c r="E295" s="19"/>
      <c r="F295" s="69"/>
      <c r="G295" s="19"/>
      <c r="H295" s="18">
        <f t="shared" si="44"/>
        <v>0</v>
      </c>
      <c r="I295" s="18">
        <f t="shared" si="45"/>
        <v>0</v>
      </c>
      <c r="J295" s="23">
        <f t="shared" si="46"/>
        <v>0</v>
      </c>
      <c r="K295" s="18">
        <f t="shared" si="47"/>
        <v>0</v>
      </c>
    </row>
    <row r="296" spans="1:11">
      <c r="A296" s="6">
        <v>282</v>
      </c>
      <c r="B296" s="28"/>
      <c r="C296" s="7"/>
      <c r="D296" s="68"/>
      <c r="E296" s="19"/>
      <c r="F296" s="69"/>
      <c r="G296" s="19"/>
      <c r="H296" s="18">
        <f t="shared" si="44"/>
        <v>0</v>
      </c>
      <c r="I296" s="18">
        <f t="shared" si="45"/>
        <v>0</v>
      </c>
      <c r="J296" s="23">
        <f t="shared" si="46"/>
        <v>0</v>
      </c>
      <c r="K296" s="18">
        <f t="shared" si="47"/>
        <v>0</v>
      </c>
    </row>
    <row r="297" spans="1:11">
      <c r="A297" s="6">
        <v>283</v>
      </c>
      <c r="B297" s="36" t="s">
        <v>82</v>
      </c>
      <c r="C297" s="7"/>
      <c r="D297" s="69">
        <v>1</v>
      </c>
      <c r="E297" s="19"/>
      <c r="F297" s="69">
        <v>4230</v>
      </c>
      <c r="G297" s="19"/>
      <c r="H297" s="18">
        <f t="shared" si="44"/>
        <v>0</v>
      </c>
      <c r="I297" s="18">
        <f t="shared" si="45"/>
        <v>4230</v>
      </c>
      <c r="J297" s="23">
        <f t="shared" si="46"/>
        <v>0</v>
      </c>
      <c r="K297" s="18">
        <f t="shared" si="47"/>
        <v>4230</v>
      </c>
    </row>
    <row r="298" spans="1:11">
      <c r="A298" s="6">
        <v>284</v>
      </c>
      <c r="B298" s="36"/>
      <c r="C298" s="7"/>
      <c r="D298" s="69"/>
      <c r="E298" s="19"/>
      <c r="F298" s="69"/>
      <c r="G298" s="19"/>
      <c r="H298" s="18">
        <f t="shared" si="44"/>
        <v>0</v>
      </c>
      <c r="I298" s="18">
        <f t="shared" si="45"/>
        <v>0</v>
      </c>
      <c r="J298" s="23">
        <f t="shared" si="46"/>
        <v>0</v>
      </c>
      <c r="K298" s="18">
        <f t="shared" si="47"/>
        <v>0</v>
      </c>
    </row>
    <row r="299" spans="1:11">
      <c r="A299" s="6">
        <v>285</v>
      </c>
      <c r="B299" s="28" t="s">
        <v>162</v>
      </c>
      <c r="C299" s="7" t="s">
        <v>163</v>
      </c>
      <c r="D299" s="69">
        <v>10</v>
      </c>
      <c r="E299" s="19"/>
      <c r="F299" s="19">
        <v>22.85</v>
      </c>
      <c r="G299" s="19"/>
      <c r="H299" s="18">
        <f t="shared" si="44"/>
        <v>0</v>
      </c>
      <c r="I299" s="18">
        <f t="shared" si="45"/>
        <v>228.5</v>
      </c>
      <c r="J299" s="23">
        <f t="shared" si="46"/>
        <v>0</v>
      </c>
      <c r="K299" s="18">
        <f t="shared" si="47"/>
        <v>228.5</v>
      </c>
    </row>
    <row r="300" spans="1:11" ht="13" thickBot="1">
      <c r="A300" s="47"/>
      <c r="B300" s="48"/>
      <c r="C300" s="47"/>
      <c r="D300" s="70"/>
      <c r="E300" s="49"/>
      <c r="F300" s="49"/>
      <c r="G300" s="49"/>
      <c r="H300" s="18">
        <f t="shared" si="44"/>
        <v>0</v>
      </c>
      <c r="I300" s="18">
        <f t="shared" si="45"/>
        <v>0</v>
      </c>
      <c r="J300" s="23">
        <f t="shared" si="46"/>
        <v>0</v>
      </c>
      <c r="K300" s="18">
        <f t="shared" si="47"/>
        <v>0</v>
      </c>
    </row>
    <row r="301" spans="1:11" ht="13" thickBot="1">
      <c r="A301" s="52"/>
      <c r="B301" s="86" t="s">
        <v>203</v>
      </c>
      <c r="C301" s="87" t="s">
        <v>1</v>
      </c>
      <c r="D301" s="71"/>
      <c r="E301" s="59"/>
      <c r="F301" s="59"/>
      <c r="G301" s="59"/>
      <c r="H301" s="59">
        <f>SUM(H14:H300)</f>
        <v>12354.589</v>
      </c>
      <c r="I301" s="59">
        <f>SUM(I14:I300)</f>
        <v>45016.18710000001</v>
      </c>
      <c r="J301" s="60">
        <f>SUM(J14:J300)</f>
        <v>886.3148000000001</v>
      </c>
      <c r="K301" s="61">
        <f>SUM(K14:K300)</f>
        <v>58257.090899999996</v>
      </c>
    </row>
    <row r="302" spans="1:11">
      <c r="A302" s="53"/>
      <c r="B302" s="88" t="s">
        <v>204</v>
      </c>
      <c r="C302" s="89"/>
      <c r="D302" s="72"/>
      <c r="E302" s="62"/>
      <c r="F302" s="62"/>
      <c r="G302" s="62"/>
      <c r="H302" s="62"/>
      <c r="I302" s="62"/>
      <c r="J302" s="63"/>
      <c r="K302" s="64">
        <f>K301*0.04</f>
        <v>2330.2836359999997</v>
      </c>
    </row>
    <row r="303" spans="1:11">
      <c r="A303" s="53"/>
      <c r="B303" s="90"/>
      <c r="C303" s="91"/>
      <c r="D303" s="73"/>
      <c r="E303" s="24"/>
      <c r="F303" s="24"/>
      <c r="G303" s="24"/>
      <c r="H303" s="24"/>
      <c r="I303" s="24"/>
      <c r="J303" s="50"/>
      <c r="K303" s="51"/>
    </row>
    <row r="304" spans="1:11">
      <c r="A304" s="53"/>
      <c r="B304" s="90"/>
      <c r="C304" s="91"/>
      <c r="D304" s="73"/>
      <c r="E304" s="24"/>
      <c r="F304" s="24"/>
      <c r="G304" s="24"/>
      <c r="H304" s="24"/>
      <c r="I304" s="24"/>
      <c r="J304" s="50"/>
      <c r="K304" s="51"/>
    </row>
    <row r="305" spans="1:11">
      <c r="A305" s="53"/>
      <c r="B305" s="90" t="s">
        <v>202</v>
      </c>
      <c r="C305" s="91"/>
      <c r="D305" s="73"/>
      <c r="E305" s="24"/>
      <c r="F305" s="24"/>
      <c r="G305" s="24"/>
      <c r="H305" s="24"/>
      <c r="I305" s="24"/>
      <c r="J305" s="50"/>
      <c r="K305" s="51">
        <f>K301*0.07</f>
        <v>4077.9963630000002</v>
      </c>
    </row>
    <row r="306" spans="1:11" ht="13" thickBot="1">
      <c r="A306" s="54"/>
      <c r="B306" s="92"/>
      <c r="C306" s="93"/>
      <c r="D306" s="74"/>
      <c r="E306" s="55"/>
      <c r="F306" s="55"/>
      <c r="G306" s="55"/>
      <c r="H306" s="55"/>
      <c r="I306" s="55"/>
      <c r="J306" s="56"/>
      <c r="K306" s="57"/>
    </row>
    <row r="307" spans="1:11" ht="13" thickBot="1">
      <c r="A307" s="58"/>
      <c r="B307" s="86" t="s">
        <v>205</v>
      </c>
      <c r="C307" s="87"/>
      <c r="D307" s="71"/>
      <c r="E307" s="59"/>
      <c r="F307" s="59"/>
      <c r="G307" s="59"/>
      <c r="H307" s="59"/>
      <c r="I307" s="59"/>
      <c r="J307" s="60"/>
      <c r="K307" s="61">
        <f>K301+K302+K305</f>
        <v>64665.370898999994</v>
      </c>
    </row>
    <row r="308" spans="1:11">
      <c r="A308" s="8"/>
      <c r="B308" s="9"/>
      <c r="C308" s="8"/>
      <c r="D308" s="75"/>
      <c r="E308" s="21"/>
      <c r="F308" s="21"/>
      <c r="G308" s="21"/>
      <c r="H308" s="21"/>
      <c r="I308" s="21"/>
      <c r="J308" s="21"/>
    </row>
    <row r="309" spans="1:11" ht="15">
      <c r="A309" s="8"/>
      <c r="B309" s="80" t="s">
        <v>180</v>
      </c>
      <c r="C309" s="35"/>
      <c r="D309" s="81"/>
      <c r="E309" s="82"/>
      <c r="F309" s="83" t="s">
        <v>181</v>
      </c>
      <c r="G309" s="25"/>
      <c r="H309" s="25"/>
      <c r="I309" s="25"/>
      <c r="J309" s="21"/>
      <c r="K309" s="21"/>
    </row>
  </sheetData>
  <phoneticPr fontId="0" type="noConversion"/>
  <pageMargins left="0.74803149606299213" right="1.03" top="0.98425196850393704" bottom="0.98425196850393704" header="0.51181102362204722" footer="0.5118110236220472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016"/>
  <sheetViews>
    <sheetView topLeftCell="B1" zoomScaleSheetLayoutView="100" workbookViewId="0">
      <selection activeCell="C27" sqref="C27"/>
    </sheetView>
  </sheetViews>
  <sheetFormatPr baseColWidth="10" defaultColWidth="8.83203125" defaultRowHeight="12" x14ac:dyDescent="0"/>
  <cols>
    <col min="1" max="1" width="4" style="102" hidden="1" customWidth="1"/>
    <col min="2" max="2" width="4.83203125" style="102" customWidth="1"/>
    <col min="3" max="3" width="40.1640625" style="102" customWidth="1"/>
    <col min="4" max="4" width="7.5" style="126" customWidth="1"/>
    <col min="5" max="5" width="6.6640625" style="103" hidden="1" customWidth="1"/>
    <col min="6" max="6" width="8.5" style="103" customWidth="1"/>
    <col min="7" max="7" width="8.1640625" style="103" customWidth="1"/>
    <col min="8" max="8" width="9.5" style="123" customWidth="1"/>
    <col min="9" max="9" width="9.5" style="103" customWidth="1"/>
    <col min="10" max="10" width="9.83203125" style="103" customWidth="1"/>
    <col min="11" max="11" width="10.33203125" style="103" customWidth="1"/>
    <col min="12" max="12" width="8.6640625" style="103" customWidth="1"/>
    <col min="13" max="13" width="11.1640625" style="103" customWidth="1"/>
    <col min="14" max="14" width="2.6640625" style="102" hidden="1" customWidth="1"/>
    <col min="15" max="15" width="5.33203125" style="104" customWidth="1"/>
    <col min="16" max="16" width="13.5" style="104" customWidth="1"/>
    <col min="17" max="81" width="8.83203125" style="104"/>
    <col min="82" max="16384" width="8.83203125" style="102"/>
  </cols>
  <sheetData>
    <row r="1" spans="1:89" s="104" customFormat="1">
      <c r="D1" s="148"/>
      <c r="E1" s="100"/>
      <c r="F1" s="100"/>
      <c r="J1" s="100"/>
      <c r="K1" s="100"/>
      <c r="L1" s="100"/>
      <c r="M1" s="100"/>
    </row>
    <row r="2" spans="1:89" s="104" customFormat="1">
      <c r="B2" s="100"/>
      <c r="C2" s="104" t="s">
        <v>2</v>
      </c>
      <c r="D2" s="148"/>
      <c r="E2" s="100"/>
      <c r="F2" s="100"/>
      <c r="J2" s="100"/>
      <c r="K2" s="100"/>
      <c r="L2" s="100"/>
      <c r="M2" s="100"/>
    </row>
    <row r="3" spans="1:89" s="104" customFormat="1">
      <c r="B3" s="100"/>
      <c r="D3" s="148"/>
      <c r="E3" s="100"/>
      <c r="F3" s="100"/>
      <c r="G3" s="100"/>
      <c r="H3" s="148" t="s">
        <v>179</v>
      </c>
      <c r="I3" s="100"/>
      <c r="J3" s="100"/>
      <c r="K3" s="100"/>
      <c r="L3" s="100"/>
      <c r="M3" s="100"/>
    </row>
    <row r="4" spans="1:89" s="104" customFormat="1">
      <c r="B4" s="100"/>
      <c r="C4" s="104" t="s">
        <v>3</v>
      </c>
      <c r="D4" s="148"/>
      <c r="E4" s="100"/>
      <c r="F4" s="100"/>
      <c r="G4" s="100"/>
      <c r="H4" s="148" t="s">
        <v>466</v>
      </c>
      <c r="I4" s="100"/>
      <c r="J4" s="100"/>
      <c r="K4" s="198"/>
      <c r="L4" s="198" t="s">
        <v>4</v>
      </c>
      <c r="M4" s="199">
        <f>M779</f>
        <v>73983.974940173939</v>
      </c>
    </row>
    <row r="5" spans="1:89" s="104" customFormat="1" ht="13" thickBot="1">
      <c r="B5" s="100"/>
      <c r="D5" s="148"/>
      <c r="E5" s="100"/>
      <c r="F5" s="100"/>
      <c r="G5" s="100"/>
      <c r="H5" s="100"/>
      <c r="I5" s="100"/>
      <c r="J5" s="100"/>
    </row>
    <row r="6" spans="1:89">
      <c r="A6" s="403"/>
      <c r="B6" s="378" t="s">
        <v>278</v>
      </c>
      <c r="C6" s="381" t="s">
        <v>68</v>
      </c>
      <c r="D6" s="384" t="s">
        <v>279</v>
      </c>
      <c r="E6" s="397" t="s">
        <v>459</v>
      </c>
      <c r="F6" s="398"/>
      <c r="G6" s="393" t="s">
        <v>280</v>
      </c>
      <c r="H6" s="394"/>
      <c r="I6" s="395"/>
      <c r="J6" s="404" t="s">
        <v>281</v>
      </c>
      <c r="K6" s="394"/>
      <c r="L6" s="394"/>
      <c r="M6" s="398"/>
      <c r="CD6" s="104"/>
      <c r="CE6" s="104"/>
      <c r="CF6" s="104"/>
      <c r="CG6" s="104"/>
      <c r="CH6" s="104"/>
      <c r="CI6" s="104"/>
      <c r="CJ6" s="104"/>
      <c r="CK6" s="104"/>
    </row>
    <row r="7" spans="1:89" ht="12.75" customHeight="1">
      <c r="A7" s="403"/>
      <c r="B7" s="379"/>
      <c r="C7" s="382"/>
      <c r="D7" s="385"/>
      <c r="E7" s="399"/>
      <c r="F7" s="400"/>
      <c r="G7" s="391"/>
      <c r="H7" s="387"/>
      <c r="I7" s="396"/>
      <c r="J7" s="399"/>
      <c r="K7" s="387"/>
      <c r="L7" s="387"/>
      <c r="M7" s="400"/>
      <c r="N7" s="149"/>
      <c r="CD7" s="104"/>
      <c r="CE7" s="104"/>
      <c r="CF7" s="104"/>
      <c r="CG7" s="104"/>
      <c r="CH7" s="104"/>
      <c r="CI7" s="104"/>
      <c r="CJ7" s="104"/>
      <c r="CK7" s="104"/>
    </row>
    <row r="8" spans="1:89" ht="12.75" customHeight="1">
      <c r="A8" s="403"/>
      <c r="B8" s="379"/>
      <c r="C8" s="382"/>
      <c r="D8" s="385"/>
      <c r="E8" s="399"/>
      <c r="F8" s="400"/>
      <c r="G8" s="391" t="s">
        <v>75</v>
      </c>
      <c r="H8" s="387" t="s">
        <v>76</v>
      </c>
      <c r="I8" s="389" t="s">
        <v>517</v>
      </c>
      <c r="J8" s="399" t="s">
        <v>75</v>
      </c>
      <c r="K8" s="387" t="s">
        <v>76</v>
      </c>
      <c r="L8" s="405" t="s">
        <v>517</v>
      </c>
      <c r="M8" s="400" t="s">
        <v>73</v>
      </c>
      <c r="N8" s="149"/>
      <c r="CD8" s="104"/>
      <c r="CE8" s="104"/>
      <c r="CF8" s="104"/>
      <c r="CG8" s="104"/>
      <c r="CH8" s="104"/>
      <c r="CI8" s="104"/>
      <c r="CJ8" s="104"/>
      <c r="CK8" s="104"/>
    </row>
    <row r="9" spans="1:89" ht="13" thickBot="1">
      <c r="A9" s="403"/>
      <c r="B9" s="380"/>
      <c r="C9" s="383"/>
      <c r="D9" s="386"/>
      <c r="E9" s="401"/>
      <c r="F9" s="402"/>
      <c r="G9" s="392"/>
      <c r="H9" s="388"/>
      <c r="I9" s="390"/>
      <c r="J9" s="401"/>
      <c r="K9" s="388"/>
      <c r="L9" s="388"/>
      <c r="M9" s="402"/>
      <c r="N9" s="149"/>
      <c r="CD9" s="104"/>
      <c r="CE9" s="104"/>
      <c r="CF9" s="104"/>
      <c r="CG9" s="104"/>
      <c r="CH9" s="104"/>
      <c r="CI9" s="104"/>
      <c r="CJ9" s="104"/>
      <c r="CK9" s="104"/>
    </row>
    <row r="10" spans="1:89">
      <c r="A10" s="160"/>
      <c r="B10" s="129">
        <v>1</v>
      </c>
      <c r="C10" s="101" t="s">
        <v>129</v>
      </c>
      <c r="D10" s="123" t="s">
        <v>6</v>
      </c>
      <c r="E10" s="204">
        <v>16</v>
      </c>
      <c r="F10" s="147">
        <v>40</v>
      </c>
      <c r="G10" s="147">
        <v>2.25</v>
      </c>
      <c r="H10" s="147">
        <v>0.01</v>
      </c>
      <c r="I10" s="147">
        <f>G10*0.25</f>
        <v>0.5625</v>
      </c>
      <c r="J10" s="147">
        <f>F10*G10</f>
        <v>90</v>
      </c>
      <c r="K10" s="147">
        <f>F10*H10</f>
        <v>0.4</v>
      </c>
      <c r="L10" s="147">
        <f>F10*I10</f>
        <v>22.5</v>
      </c>
      <c r="M10" s="147">
        <f>J10+K10+L10</f>
        <v>112.9</v>
      </c>
      <c r="N10" s="119"/>
      <c r="P10" s="105">
        <f>M10+N10+O10</f>
        <v>112.9</v>
      </c>
      <c r="CD10" s="104"/>
      <c r="CE10" s="104"/>
      <c r="CF10" s="104"/>
      <c r="CG10" s="104"/>
      <c r="CH10" s="104"/>
      <c r="CI10" s="104"/>
      <c r="CJ10" s="104"/>
      <c r="CK10" s="104"/>
    </row>
    <row r="11" spans="1:89" ht="24">
      <c r="A11" s="160"/>
      <c r="B11" s="129">
        <v>2</v>
      </c>
      <c r="C11" s="125" t="s">
        <v>516</v>
      </c>
      <c r="D11" s="123" t="s">
        <v>13</v>
      </c>
      <c r="E11" s="204"/>
      <c r="F11" s="147">
        <v>230</v>
      </c>
      <c r="G11" s="147">
        <v>8.6999999999999993</v>
      </c>
      <c r="H11" s="147">
        <v>5.3</v>
      </c>
      <c r="I11" s="147">
        <v>0.05</v>
      </c>
      <c r="J11" s="147">
        <f>F11*G11</f>
        <v>2000.9999999999998</v>
      </c>
      <c r="K11" s="147">
        <f>F11*H11</f>
        <v>1219</v>
      </c>
      <c r="L11" s="147">
        <f>F11*I11</f>
        <v>11.5</v>
      </c>
      <c r="M11" s="147">
        <f>J11+K11+L11</f>
        <v>3231.5</v>
      </c>
      <c r="N11" s="119"/>
      <c r="P11" s="105">
        <f t="shared" ref="P11:P73" si="0">M11+N11+O11</f>
        <v>3231.5</v>
      </c>
      <c r="CD11" s="104"/>
      <c r="CE11" s="104"/>
      <c r="CF11" s="104"/>
      <c r="CG11" s="104"/>
      <c r="CH11" s="104"/>
      <c r="CI11" s="104"/>
      <c r="CJ11" s="104"/>
      <c r="CK11" s="104"/>
    </row>
    <row r="12" spans="1:89">
      <c r="A12" s="160"/>
      <c r="B12" s="129">
        <v>3</v>
      </c>
      <c r="C12" s="101" t="s">
        <v>490</v>
      </c>
      <c r="D12" s="123"/>
      <c r="E12" s="204"/>
      <c r="F12" s="147">
        <v>120</v>
      </c>
      <c r="G12" s="147">
        <v>0.35</v>
      </c>
      <c r="H12" s="147"/>
      <c r="I12" s="147">
        <v>3.4</v>
      </c>
      <c r="J12" s="147">
        <f>F12*G12</f>
        <v>42</v>
      </c>
      <c r="K12" s="147">
        <f>F12*H12</f>
        <v>0</v>
      </c>
      <c r="L12" s="147">
        <f>F12*I12</f>
        <v>408</v>
      </c>
      <c r="M12" s="147">
        <f>J12+K12+L12</f>
        <v>450</v>
      </c>
      <c r="N12" s="119"/>
      <c r="P12" s="105">
        <f t="shared" si="0"/>
        <v>450</v>
      </c>
      <c r="CD12" s="104"/>
      <c r="CE12" s="104"/>
      <c r="CF12" s="104"/>
      <c r="CG12" s="104"/>
      <c r="CH12" s="104"/>
      <c r="CI12" s="104"/>
      <c r="CJ12" s="104"/>
      <c r="CK12" s="104"/>
    </row>
    <row r="13" spans="1:89">
      <c r="A13" s="160"/>
      <c r="B13" s="129">
        <v>4</v>
      </c>
      <c r="C13" s="101" t="s">
        <v>160</v>
      </c>
      <c r="D13" s="123" t="s">
        <v>6</v>
      </c>
      <c r="E13" s="147">
        <v>68</v>
      </c>
      <c r="F13" s="147">
        <v>50</v>
      </c>
      <c r="G13" s="147">
        <v>0.65</v>
      </c>
      <c r="H13" s="147">
        <v>0.01</v>
      </c>
      <c r="I13" s="147">
        <f t="shared" ref="I13:I23" si="1">G13*0.25</f>
        <v>0.16250000000000001</v>
      </c>
      <c r="J13" s="147">
        <f t="shared" ref="J13:J27" si="2">F13*G13</f>
        <v>32.5</v>
      </c>
      <c r="K13" s="147">
        <f t="shared" ref="K13:K27" si="3">F13*H13</f>
        <v>0.5</v>
      </c>
      <c r="L13" s="147">
        <f t="shared" ref="L13:L27" si="4">F13*I13</f>
        <v>8.125</v>
      </c>
      <c r="M13" s="147">
        <f t="shared" ref="M13:M27" si="5">J13+K13+L13</f>
        <v>41.125</v>
      </c>
      <c r="N13" s="119"/>
      <c r="P13" s="105">
        <f t="shared" si="0"/>
        <v>41.125</v>
      </c>
      <c r="CD13" s="104"/>
      <c r="CE13" s="104"/>
      <c r="CF13" s="104"/>
      <c r="CG13" s="104"/>
      <c r="CH13" s="104"/>
      <c r="CI13" s="104"/>
      <c r="CJ13" s="104"/>
      <c r="CK13" s="104"/>
    </row>
    <row r="14" spans="1:89">
      <c r="A14" s="160"/>
      <c r="B14" s="129">
        <v>5</v>
      </c>
      <c r="C14" s="101" t="s">
        <v>137</v>
      </c>
      <c r="D14" s="123" t="s">
        <v>6</v>
      </c>
      <c r="E14" s="147">
        <v>112</v>
      </c>
      <c r="F14" s="147">
        <v>140.4</v>
      </c>
      <c r="G14" s="147">
        <v>1.45</v>
      </c>
      <c r="H14" s="147">
        <v>0.01</v>
      </c>
      <c r="I14" s="147">
        <f t="shared" si="1"/>
        <v>0.36249999999999999</v>
      </c>
      <c r="J14" s="147">
        <f t="shared" si="2"/>
        <v>203.58</v>
      </c>
      <c r="K14" s="147">
        <f t="shared" si="3"/>
        <v>1.4040000000000001</v>
      </c>
      <c r="L14" s="147">
        <f t="shared" si="4"/>
        <v>50.895000000000003</v>
      </c>
      <c r="M14" s="147">
        <f t="shared" si="5"/>
        <v>255.87900000000002</v>
      </c>
      <c r="N14" s="119"/>
      <c r="P14" s="105">
        <f t="shared" si="0"/>
        <v>255.87900000000002</v>
      </c>
      <c r="CD14" s="104"/>
      <c r="CE14" s="104"/>
      <c r="CF14" s="104"/>
      <c r="CG14" s="104"/>
      <c r="CH14" s="104"/>
      <c r="CI14" s="104"/>
      <c r="CJ14" s="104"/>
      <c r="CK14" s="104"/>
    </row>
    <row r="15" spans="1:89">
      <c r="A15" s="160"/>
      <c r="B15" s="129">
        <v>6</v>
      </c>
      <c r="C15" s="101" t="s">
        <v>7</v>
      </c>
      <c r="D15" s="123" t="s">
        <v>6</v>
      </c>
      <c r="E15" s="147">
        <v>15</v>
      </c>
      <c r="F15" s="147">
        <v>15</v>
      </c>
      <c r="G15" s="147">
        <v>2.5</v>
      </c>
      <c r="H15" s="147">
        <v>0.01</v>
      </c>
      <c r="I15" s="147">
        <f t="shared" si="1"/>
        <v>0.625</v>
      </c>
      <c r="J15" s="147">
        <f t="shared" si="2"/>
        <v>37.5</v>
      </c>
      <c r="K15" s="147">
        <f t="shared" si="3"/>
        <v>0.15</v>
      </c>
      <c r="L15" s="147">
        <f t="shared" si="4"/>
        <v>9.375</v>
      </c>
      <c r="M15" s="147">
        <f t="shared" si="5"/>
        <v>47.024999999999999</v>
      </c>
      <c r="N15" s="119"/>
      <c r="P15" s="105">
        <f t="shared" si="0"/>
        <v>47.024999999999999</v>
      </c>
      <c r="CD15" s="104"/>
      <c r="CE15" s="104"/>
      <c r="CF15" s="104"/>
      <c r="CG15" s="104"/>
      <c r="CH15" s="104"/>
      <c r="CI15" s="104"/>
      <c r="CJ15" s="104"/>
      <c r="CK15" s="104"/>
    </row>
    <row r="16" spans="1:89">
      <c r="A16" s="160"/>
      <c r="B16" s="129">
        <v>7</v>
      </c>
      <c r="C16" s="101" t="s">
        <v>8</v>
      </c>
      <c r="D16" s="123" t="s">
        <v>6</v>
      </c>
      <c r="E16" s="147">
        <v>16</v>
      </c>
      <c r="F16" s="147">
        <v>40</v>
      </c>
      <c r="G16" s="147">
        <v>1.65</v>
      </c>
      <c r="H16" s="147">
        <v>0.03</v>
      </c>
      <c r="I16" s="147">
        <f t="shared" si="1"/>
        <v>0.41249999999999998</v>
      </c>
      <c r="J16" s="147">
        <f t="shared" si="2"/>
        <v>66</v>
      </c>
      <c r="K16" s="147">
        <f t="shared" si="3"/>
        <v>1.2</v>
      </c>
      <c r="L16" s="147">
        <f t="shared" si="4"/>
        <v>16.5</v>
      </c>
      <c r="M16" s="147">
        <f t="shared" si="5"/>
        <v>83.7</v>
      </c>
      <c r="N16" s="119"/>
      <c r="P16" s="105">
        <f t="shared" si="0"/>
        <v>83.7</v>
      </c>
      <c r="CD16" s="104"/>
      <c r="CE16" s="104"/>
      <c r="CF16" s="104"/>
      <c r="CG16" s="104"/>
      <c r="CH16" s="104"/>
      <c r="CI16" s="104"/>
      <c r="CJ16" s="104"/>
      <c r="CK16" s="104"/>
    </row>
    <row r="17" spans="1:89">
      <c r="A17" s="160"/>
      <c r="B17" s="129">
        <v>8</v>
      </c>
      <c r="C17" s="101" t="s">
        <v>9</v>
      </c>
      <c r="D17" s="123" t="s">
        <v>10</v>
      </c>
      <c r="E17" s="147">
        <v>56</v>
      </c>
      <c r="F17" s="147">
        <v>56</v>
      </c>
      <c r="G17" s="147">
        <v>0.35</v>
      </c>
      <c r="H17" s="147">
        <v>0.01</v>
      </c>
      <c r="I17" s="147">
        <f t="shared" si="1"/>
        <v>8.7499999999999994E-2</v>
      </c>
      <c r="J17" s="147">
        <f t="shared" si="2"/>
        <v>19.599999999999998</v>
      </c>
      <c r="K17" s="147">
        <f t="shared" si="3"/>
        <v>0.56000000000000005</v>
      </c>
      <c r="L17" s="147">
        <f t="shared" si="4"/>
        <v>4.8999999999999995</v>
      </c>
      <c r="M17" s="147">
        <f t="shared" si="5"/>
        <v>25.059999999999995</v>
      </c>
      <c r="N17" s="119"/>
      <c r="P17" s="105">
        <f t="shared" si="0"/>
        <v>25.059999999999995</v>
      </c>
      <c r="CD17" s="104"/>
      <c r="CE17" s="104"/>
      <c r="CF17" s="104"/>
      <c r="CG17" s="104"/>
      <c r="CH17" s="104"/>
      <c r="CI17" s="104"/>
      <c r="CJ17" s="104"/>
      <c r="CK17" s="104"/>
    </row>
    <row r="18" spans="1:89">
      <c r="A18" s="160"/>
      <c r="B18" s="129">
        <v>9</v>
      </c>
      <c r="C18" s="101" t="s">
        <v>386</v>
      </c>
      <c r="D18" s="123" t="s">
        <v>11</v>
      </c>
      <c r="E18" s="147">
        <v>1</v>
      </c>
      <c r="F18" s="147">
        <v>1</v>
      </c>
      <c r="G18" s="147">
        <v>6</v>
      </c>
      <c r="H18" s="147">
        <v>0.18</v>
      </c>
      <c r="I18" s="147">
        <f t="shared" si="1"/>
        <v>1.5</v>
      </c>
      <c r="J18" s="147">
        <f t="shared" si="2"/>
        <v>6</v>
      </c>
      <c r="K18" s="147">
        <f t="shared" si="3"/>
        <v>0.18</v>
      </c>
      <c r="L18" s="147">
        <f t="shared" si="4"/>
        <v>1.5</v>
      </c>
      <c r="M18" s="147">
        <f t="shared" si="5"/>
        <v>7.68</v>
      </c>
      <c r="N18" s="119"/>
      <c r="P18" s="105">
        <f t="shared" si="0"/>
        <v>7.68</v>
      </c>
      <c r="CD18" s="104"/>
      <c r="CE18" s="104"/>
      <c r="CF18" s="104"/>
      <c r="CG18" s="104"/>
      <c r="CH18" s="104"/>
      <c r="CI18" s="104"/>
      <c r="CJ18" s="104"/>
      <c r="CK18" s="104"/>
    </row>
    <row r="19" spans="1:89">
      <c r="A19" s="160"/>
      <c r="B19" s="129">
        <v>10</v>
      </c>
      <c r="C19" s="101" t="s">
        <v>44</v>
      </c>
      <c r="D19" s="123" t="s">
        <v>6</v>
      </c>
      <c r="E19" s="147">
        <v>6.6</v>
      </c>
      <c r="F19" s="147">
        <v>6.6</v>
      </c>
      <c r="G19" s="147">
        <v>2.4</v>
      </c>
      <c r="H19" s="147">
        <v>3.5000000000000003E-2</v>
      </c>
      <c r="I19" s="147">
        <f t="shared" si="1"/>
        <v>0.6</v>
      </c>
      <c r="J19" s="147">
        <f t="shared" si="2"/>
        <v>15.839999999999998</v>
      </c>
      <c r="K19" s="147">
        <f t="shared" si="3"/>
        <v>0.23100000000000001</v>
      </c>
      <c r="L19" s="147">
        <f t="shared" si="4"/>
        <v>3.9599999999999995</v>
      </c>
      <c r="M19" s="147">
        <f t="shared" si="5"/>
        <v>20.030999999999999</v>
      </c>
      <c r="N19" s="119"/>
      <c r="P19" s="105">
        <f t="shared" si="0"/>
        <v>20.030999999999999</v>
      </c>
      <c r="CD19" s="104"/>
      <c r="CE19" s="104"/>
      <c r="CF19" s="104"/>
      <c r="CG19" s="104"/>
      <c r="CH19" s="104"/>
      <c r="CI19" s="104"/>
      <c r="CJ19" s="104"/>
      <c r="CK19" s="104"/>
    </row>
    <row r="20" spans="1:89">
      <c r="A20" s="160"/>
      <c r="B20" s="129">
        <v>11</v>
      </c>
      <c r="C20" s="101" t="s">
        <v>45</v>
      </c>
      <c r="D20" s="123" t="s">
        <v>6</v>
      </c>
      <c r="E20" s="147">
        <v>15.5</v>
      </c>
      <c r="F20" s="147">
        <v>15.2</v>
      </c>
      <c r="G20" s="147">
        <v>0.7</v>
      </c>
      <c r="H20" s="147">
        <v>0.1</v>
      </c>
      <c r="I20" s="147">
        <f t="shared" si="1"/>
        <v>0.17499999999999999</v>
      </c>
      <c r="J20" s="147">
        <f t="shared" si="2"/>
        <v>10.639999999999999</v>
      </c>
      <c r="K20" s="147">
        <f t="shared" si="3"/>
        <v>1.52</v>
      </c>
      <c r="L20" s="147">
        <f t="shared" si="4"/>
        <v>2.6599999999999997</v>
      </c>
      <c r="M20" s="147">
        <f t="shared" si="5"/>
        <v>14.819999999999999</v>
      </c>
      <c r="N20" s="119"/>
      <c r="P20" s="105">
        <f t="shared" si="0"/>
        <v>14.819999999999999</v>
      </c>
      <c r="CD20" s="104"/>
      <c r="CE20" s="104"/>
      <c r="CF20" s="104"/>
      <c r="CG20" s="104"/>
      <c r="CH20" s="104"/>
      <c r="CI20" s="104"/>
      <c r="CJ20" s="104"/>
      <c r="CK20" s="104"/>
    </row>
    <row r="21" spans="1:89">
      <c r="A21" s="160"/>
      <c r="B21" s="129">
        <v>12</v>
      </c>
      <c r="C21" s="101" t="s">
        <v>87</v>
      </c>
      <c r="D21" s="123" t="s">
        <v>6</v>
      </c>
      <c r="E21" s="147">
        <v>36</v>
      </c>
      <c r="F21" s="147">
        <v>21.04</v>
      </c>
      <c r="G21" s="147">
        <v>0.55000000000000004</v>
      </c>
      <c r="H21" s="147">
        <v>0.03</v>
      </c>
      <c r="I21" s="147">
        <f t="shared" si="1"/>
        <v>0.13750000000000001</v>
      </c>
      <c r="J21" s="147">
        <f t="shared" si="2"/>
        <v>11.572000000000001</v>
      </c>
      <c r="K21" s="147">
        <f t="shared" si="3"/>
        <v>0.63119999999999998</v>
      </c>
      <c r="L21" s="147">
        <f t="shared" si="4"/>
        <v>2.8930000000000002</v>
      </c>
      <c r="M21" s="147">
        <f t="shared" si="5"/>
        <v>15.096200000000001</v>
      </c>
      <c r="N21" s="119"/>
      <c r="P21" s="105">
        <f t="shared" si="0"/>
        <v>15.096200000000001</v>
      </c>
      <c r="CD21" s="104"/>
      <c r="CE21" s="104"/>
      <c r="CF21" s="104"/>
      <c r="CG21" s="104"/>
      <c r="CH21" s="104"/>
      <c r="CI21" s="104"/>
      <c r="CJ21" s="104"/>
      <c r="CK21" s="104"/>
    </row>
    <row r="22" spans="1:89">
      <c r="A22" s="160"/>
      <c r="B22" s="129">
        <v>13</v>
      </c>
      <c r="C22" s="101" t="s">
        <v>161</v>
      </c>
      <c r="D22" s="123" t="s">
        <v>11</v>
      </c>
      <c r="E22" s="147">
        <v>7</v>
      </c>
      <c r="F22" s="147">
        <v>3</v>
      </c>
      <c r="G22" s="147">
        <v>1.1499999999999999</v>
      </c>
      <c r="H22" s="147">
        <v>0.03</v>
      </c>
      <c r="I22" s="147">
        <f t="shared" si="1"/>
        <v>0.28749999999999998</v>
      </c>
      <c r="J22" s="147">
        <f t="shared" si="2"/>
        <v>3.4499999999999997</v>
      </c>
      <c r="K22" s="147">
        <f t="shared" si="3"/>
        <v>0.09</v>
      </c>
      <c r="L22" s="147">
        <f t="shared" si="4"/>
        <v>0.86249999999999993</v>
      </c>
      <c r="M22" s="147">
        <f t="shared" si="5"/>
        <v>4.4024999999999999</v>
      </c>
      <c r="N22" s="119"/>
      <c r="P22" s="105">
        <f t="shared" si="0"/>
        <v>4.4024999999999999</v>
      </c>
      <c r="CD22" s="104"/>
      <c r="CE22" s="104"/>
      <c r="CF22" s="104"/>
      <c r="CG22" s="104"/>
      <c r="CH22" s="104"/>
      <c r="CI22" s="104"/>
      <c r="CJ22" s="104"/>
      <c r="CK22" s="104"/>
    </row>
    <row r="23" spans="1:89">
      <c r="A23" s="160"/>
      <c r="B23" s="129">
        <v>14</v>
      </c>
      <c r="C23" s="101" t="s">
        <v>243</v>
      </c>
      <c r="D23" s="123" t="s">
        <v>6</v>
      </c>
      <c r="E23" s="147"/>
      <c r="F23" s="147">
        <v>8.11</v>
      </c>
      <c r="G23" s="147">
        <v>2</v>
      </c>
      <c r="H23" s="147"/>
      <c r="I23" s="147">
        <f t="shared" si="1"/>
        <v>0.5</v>
      </c>
      <c r="J23" s="147">
        <f t="shared" si="2"/>
        <v>16.22</v>
      </c>
      <c r="K23" s="147">
        <f t="shared" si="3"/>
        <v>0</v>
      </c>
      <c r="L23" s="147">
        <f t="shared" si="4"/>
        <v>4.0549999999999997</v>
      </c>
      <c r="M23" s="147">
        <f t="shared" si="5"/>
        <v>20.274999999999999</v>
      </c>
      <c r="N23" s="119"/>
      <c r="P23" s="105">
        <f t="shared" si="0"/>
        <v>20.274999999999999</v>
      </c>
      <c r="CD23" s="104"/>
      <c r="CE23" s="104"/>
      <c r="CF23" s="104"/>
      <c r="CG23" s="104"/>
      <c r="CH23" s="104"/>
      <c r="CI23" s="104"/>
      <c r="CJ23" s="104"/>
      <c r="CK23" s="104"/>
    </row>
    <row r="24" spans="1:89">
      <c r="A24" s="160"/>
      <c r="B24" s="129">
        <v>15</v>
      </c>
      <c r="C24" s="109" t="s">
        <v>489</v>
      </c>
      <c r="D24" s="123" t="s">
        <v>13</v>
      </c>
      <c r="E24" s="147"/>
      <c r="F24" s="147">
        <v>600</v>
      </c>
      <c r="G24" s="147"/>
      <c r="H24" s="147"/>
      <c r="I24" s="147">
        <v>3.4</v>
      </c>
      <c r="J24" s="147">
        <f t="shared" si="2"/>
        <v>0</v>
      </c>
      <c r="K24" s="147">
        <f t="shared" si="3"/>
        <v>0</v>
      </c>
      <c r="L24" s="147">
        <f t="shared" si="4"/>
        <v>2040</v>
      </c>
      <c r="M24" s="147">
        <f t="shared" si="5"/>
        <v>2040</v>
      </c>
      <c r="N24" s="188"/>
      <c r="P24" s="105">
        <f t="shared" si="0"/>
        <v>2040</v>
      </c>
      <c r="CD24" s="104"/>
      <c r="CE24" s="104"/>
      <c r="CF24" s="104"/>
      <c r="CG24" s="104"/>
      <c r="CH24" s="104"/>
      <c r="CI24" s="104"/>
      <c r="CJ24" s="104"/>
      <c r="CK24" s="104"/>
    </row>
    <row r="25" spans="1:89">
      <c r="A25" s="160"/>
      <c r="B25" s="129">
        <v>16</v>
      </c>
      <c r="C25" s="109" t="s">
        <v>162</v>
      </c>
      <c r="D25" s="123" t="s">
        <v>163</v>
      </c>
      <c r="E25" s="204">
        <v>7</v>
      </c>
      <c r="F25" s="147">
        <v>7</v>
      </c>
      <c r="G25" s="147">
        <v>8</v>
      </c>
      <c r="H25" s="147">
        <v>28.4</v>
      </c>
      <c r="I25" s="147"/>
      <c r="J25" s="147">
        <f t="shared" si="2"/>
        <v>56</v>
      </c>
      <c r="K25" s="147">
        <f t="shared" si="3"/>
        <v>198.79999999999998</v>
      </c>
      <c r="L25" s="147">
        <f t="shared" si="4"/>
        <v>0</v>
      </c>
      <c r="M25" s="147">
        <f t="shared" si="5"/>
        <v>254.79999999999998</v>
      </c>
      <c r="P25" s="105">
        <f t="shared" si="0"/>
        <v>254.79999999999998</v>
      </c>
      <c r="CD25" s="104"/>
      <c r="CE25" s="104"/>
      <c r="CF25" s="104"/>
      <c r="CG25" s="104"/>
      <c r="CH25" s="104"/>
      <c r="CI25" s="104"/>
      <c r="CJ25" s="104"/>
      <c r="CK25" s="104"/>
    </row>
    <row r="26" spans="1:89">
      <c r="A26" s="160"/>
      <c r="B26" s="129">
        <v>17</v>
      </c>
      <c r="C26" s="132" t="s">
        <v>244</v>
      </c>
      <c r="D26" s="123"/>
      <c r="E26" s="147"/>
      <c r="F26" s="147"/>
      <c r="G26" s="147"/>
      <c r="H26" s="147"/>
      <c r="I26" s="147"/>
      <c r="J26" s="147">
        <f t="shared" si="2"/>
        <v>0</v>
      </c>
      <c r="K26" s="147">
        <f t="shared" si="3"/>
        <v>0</v>
      </c>
      <c r="L26" s="147">
        <f t="shared" si="4"/>
        <v>0</v>
      </c>
      <c r="M26" s="147">
        <f t="shared" si="5"/>
        <v>0</v>
      </c>
      <c r="N26" s="119"/>
      <c r="P26" s="105">
        <f t="shared" si="0"/>
        <v>0</v>
      </c>
      <c r="CD26" s="104"/>
      <c r="CE26" s="104"/>
      <c r="CF26" s="104"/>
      <c r="CG26" s="104"/>
      <c r="CH26" s="104"/>
      <c r="CI26" s="104"/>
      <c r="CJ26" s="104"/>
      <c r="CK26" s="104"/>
    </row>
    <row r="27" spans="1:89">
      <c r="A27" s="160"/>
      <c r="B27" s="129">
        <v>18</v>
      </c>
      <c r="C27" s="110" t="s">
        <v>245</v>
      </c>
      <c r="D27" s="123" t="s">
        <v>6</v>
      </c>
      <c r="E27" s="147"/>
      <c r="F27" s="147">
        <v>10.1</v>
      </c>
      <c r="G27" s="147">
        <v>0.25</v>
      </c>
      <c r="H27" s="147">
        <v>0.01</v>
      </c>
      <c r="I27" s="147">
        <f>G27*0.25</f>
        <v>6.25E-2</v>
      </c>
      <c r="J27" s="147">
        <f t="shared" si="2"/>
        <v>2.5249999999999999</v>
      </c>
      <c r="K27" s="147">
        <f t="shared" si="3"/>
        <v>0.10099999999999999</v>
      </c>
      <c r="L27" s="147">
        <f t="shared" si="4"/>
        <v>0.63124999999999998</v>
      </c>
      <c r="M27" s="147">
        <f t="shared" si="5"/>
        <v>3.25725</v>
      </c>
      <c r="N27" s="119"/>
      <c r="P27" s="105">
        <f t="shared" si="0"/>
        <v>3.25725</v>
      </c>
      <c r="CD27" s="104"/>
      <c r="CE27" s="104"/>
      <c r="CF27" s="104"/>
      <c r="CG27" s="104"/>
      <c r="CH27" s="104"/>
      <c r="CI27" s="104"/>
      <c r="CJ27" s="104"/>
      <c r="CK27" s="104"/>
    </row>
    <row r="28" spans="1:89" ht="36">
      <c r="A28" s="160"/>
      <c r="B28" s="129">
        <v>19</v>
      </c>
      <c r="C28" s="111" t="s">
        <v>491</v>
      </c>
      <c r="D28" s="123" t="s">
        <v>273</v>
      </c>
      <c r="E28" s="147"/>
      <c r="F28" s="147">
        <v>10.1</v>
      </c>
      <c r="G28" s="147">
        <v>1.5</v>
      </c>
      <c r="H28" s="147"/>
      <c r="I28" s="147">
        <v>0.35</v>
      </c>
      <c r="J28" s="147">
        <f t="shared" ref="J28:J40" si="6">F28*G28</f>
        <v>15.149999999999999</v>
      </c>
      <c r="K28" s="147">
        <f t="shared" ref="K28:K40" si="7">F28*H28</f>
        <v>0</v>
      </c>
      <c r="L28" s="147">
        <f t="shared" ref="L28:L40" si="8">F28*I28</f>
        <v>3.5349999999999997</v>
      </c>
      <c r="M28" s="147">
        <f t="shared" ref="M28:M40" si="9">J28+K28+L28</f>
        <v>18.684999999999999</v>
      </c>
      <c r="N28" s="119"/>
      <c r="P28" s="105">
        <f t="shared" si="0"/>
        <v>18.684999999999999</v>
      </c>
      <c r="CD28" s="104"/>
      <c r="CE28" s="104"/>
      <c r="CF28" s="104"/>
      <c r="CG28" s="104"/>
      <c r="CH28" s="104"/>
      <c r="CI28" s="104"/>
      <c r="CJ28" s="104"/>
      <c r="CK28" s="104"/>
    </row>
    <row r="29" spans="1:89" ht="24">
      <c r="A29" s="160"/>
      <c r="B29" s="129">
        <v>20</v>
      </c>
      <c r="C29" s="111" t="s">
        <v>246</v>
      </c>
      <c r="D29" s="123" t="s">
        <v>6</v>
      </c>
      <c r="E29" s="147">
        <v>82</v>
      </c>
      <c r="F29" s="147">
        <v>10.1</v>
      </c>
      <c r="G29" s="147">
        <v>1.25</v>
      </c>
      <c r="H29" s="147">
        <v>1.3</v>
      </c>
      <c r="I29" s="147">
        <f>G29*0.1</f>
        <v>0.125</v>
      </c>
      <c r="J29" s="147">
        <f t="shared" si="6"/>
        <v>12.625</v>
      </c>
      <c r="K29" s="147">
        <f t="shared" si="7"/>
        <v>13.13</v>
      </c>
      <c r="L29" s="147">
        <f t="shared" si="8"/>
        <v>1.2625</v>
      </c>
      <c r="M29" s="147">
        <f t="shared" si="9"/>
        <v>27.017500000000002</v>
      </c>
      <c r="N29" s="119"/>
      <c r="P29" s="105">
        <f t="shared" si="0"/>
        <v>27.017500000000002</v>
      </c>
      <c r="CD29" s="104"/>
      <c r="CE29" s="104"/>
      <c r="CF29" s="104"/>
      <c r="CG29" s="104"/>
      <c r="CH29" s="104"/>
      <c r="CI29" s="104"/>
      <c r="CJ29" s="104"/>
      <c r="CK29" s="104"/>
    </row>
    <row r="30" spans="1:89">
      <c r="A30" s="160"/>
      <c r="B30" s="129">
        <v>21</v>
      </c>
      <c r="C30" s="110" t="s">
        <v>15</v>
      </c>
      <c r="D30" s="123" t="s">
        <v>16</v>
      </c>
      <c r="E30" s="147">
        <v>0.32</v>
      </c>
      <c r="F30" s="147">
        <v>0.15</v>
      </c>
      <c r="G30" s="147">
        <v>55</v>
      </c>
      <c r="H30" s="147"/>
      <c r="I30" s="147">
        <f>G30*0.1</f>
        <v>5.5</v>
      </c>
      <c r="J30" s="147">
        <f t="shared" si="6"/>
        <v>8.25</v>
      </c>
      <c r="K30" s="147">
        <f t="shared" si="7"/>
        <v>0</v>
      </c>
      <c r="L30" s="147">
        <f t="shared" si="8"/>
        <v>0.82499999999999996</v>
      </c>
      <c r="M30" s="147">
        <f t="shared" si="9"/>
        <v>9.0749999999999993</v>
      </c>
      <c r="N30" s="119"/>
      <c r="P30" s="105">
        <f t="shared" si="0"/>
        <v>9.0749999999999993</v>
      </c>
      <c r="CD30" s="104"/>
      <c r="CE30" s="104"/>
      <c r="CF30" s="104"/>
      <c r="CG30" s="104"/>
      <c r="CH30" s="104"/>
      <c r="CI30" s="104"/>
      <c r="CJ30" s="104"/>
      <c r="CK30" s="104"/>
    </row>
    <row r="31" spans="1:89">
      <c r="A31" s="160"/>
      <c r="B31" s="129">
        <v>22</v>
      </c>
      <c r="C31" s="110" t="s">
        <v>18</v>
      </c>
      <c r="D31" s="123" t="s">
        <v>13</v>
      </c>
      <c r="E31" s="147">
        <v>16.5</v>
      </c>
      <c r="F31" s="147">
        <f>0.8*0.3*10.1*1.05</f>
        <v>2.5451999999999999</v>
      </c>
      <c r="G31" s="147">
        <v>4.8499999999999996</v>
      </c>
      <c r="H31" s="147"/>
      <c r="I31" s="147">
        <f>G31*0.1</f>
        <v>0.48499999999999999</v>
      </c>
      <c r="J31" s="147">
        <f t="shared" si="6"/>
        <v>12.344219999999998</v>
      </c>
      <c r="K31" s="147">
        <f t="shared" si="7"/>
        <v>0</v>
      </c>
      <c r="L31" s="147">
        <f t="shared" si="8"/>
        <v>1.2344219999999999</v>
      </c>
      <c r="M31" s="147">
        <f t="shared" si="9"/>
        <v>13.578641999999999</v>
      </c>
      <c r="N31" s="119"/>
      <c r="P31" s="105">
        <f t="shared" si="0"/>
        <v>13.578641999999999</v>
      </c>
      <c r="CD31" s="104"/>
      <c r="CE31" s="104"/>
      <c r="CF31" s="104"/>
      <c r="CG31" s="104"/>
      <c r="CH31" s="104"/>
      <c r="CI31" s="104"/>
      <c r="CJ31" s="104"/>
      <c r="CK31" s="104"/>
    </row>
    <row r="32" spans="1:89" ht="25.5" customHeight="1">
      <c r="A32" s="160"/>
      <c r="B32" s="129">
        <v>23</v>
      </c>
      <c r="C32" s="111" t="s">
        <v>460</v>
      </c>
      <c r="D32" s="123" t="s">
        <v>13</v>
      </c>
      <c r="E32" s="147"/>
      <c r="F32" s="147">
        <f>F31/10.1*8</f>
        <v>2.016</v>
      </c>
      <c r="G32" s="147">
        <v>9.06</v>
      </c>
      <c r="H32" s="147">
        <v>0.18</v>
      </c>
      <c r="I32" s="147">
        <f>G32*0.1</f>
        <v>0.90600000000000014</v>
      </c>
      <c r="J32" s="147">
        <f t="shared" si="6"/>
        <v>18.264960000000002</v>
      </c>
      <c r="K32" s="147">
        <f t="shared" si="7"/>
        <v>0.36287999999999998</v>
      </c>
      <c r="L32" s="147">
        <f t="shared" si="8"/>
        <v>1.8264960000000003</v>
      </c>
      <c r="M32" s="147">
        <f t="shared" si="9"/>
        <v>20.454336000000001</v>
      </c>
      <c r="N32" s="119"/>
      <c r="P32" s="105">
        <f t="shared" si="0"/>
        <v>20.454336000000001</v>
      </c>
      <c r="CD32" s="104"/>
      <c r="CE32" s="104"/>
      <c r="CF32" s="104"/>
      <c r="CG32" s="104"/>
      <c r="CH32" s="104"/>
      <c r="CI32" s="104"/>
      <c r="CJ32" s="104"/>
      <c r="CK32" s="104"/>
    </row>
    <row r="33" spans="1:89" ht="12.75" customHeight="1">
      <c r="A33" s="160"/>
      <c r="B33" s="129">
        <v>24</v>
      </c>
      <c r="C33" s="111" t="s">
        <v>461</v>
      </c>
      <c r="D33" s="123" t="s">
        <v>13</v>
      </c>
      <c r="E33" s="147"/>
      <c r="F33" s="147">
        <f>F31/10.1*9.2</f>
        <v>2.3184</v>
      </c>
      <c r="G33" s="147">
        <v>9.06</v>
      </c>
      <c r="H33" s="147">
        <v>0.54</v>
      </c>
      <c r="I33" s="147">
        <f t="shared" ref="I33:I40" si="10">G33*0.1</f>
        <v>0.90600000000000014</v>
      </c>
      <c r="J33" s="147">
        <f t="shared" si="6"/>
        <v>21.004704</v>
      </c>
      <c r="K33" s="147">
        <f t="shared" si="7"/>
        <v>1.2519360000000002</v>
      </c>
      <c r="L33" s="147">
        <f t="shared" si="8"/>
        <v>2.1004704000000003</v>
      </c>
      <c r="M33" s="147">
        <f t="shared" si="9"/>
        <v>24.3571104</v>
      </c>
      <c r="N33" s="119"/>
      <c r="P33" s="105">
        <f t="shared" si="0"/>
        <v>24.3571104</v>
      </c>
      <c r="CD33" s="104"/>
      <c r="CE33" s="104"/>
      <c r="CF33" s="104"/>
      <c r="CG33" s="104"/>
      <c r="CH33" s="104"/>
      <c r="CI33" s="104"/>
      <c r="CJ33" s="104"/>
      <c r="CK33" s="104"/>
    </row>
    <row r="34" spans="1:89">
      <c r="A34" s="160"/>
      <c r="B34" s="129">
        <v>25</v>
      </c>
      <c r="C34" s="111" t="s">
        <v>462</v>
      </c>
      <c r="D34" s="123" t="s">
        <v>13</v>
      </c>
      <c r="E34" s="147"/>
      <c r="F34" s="147">
        <f>F31/10.1*6.6</f>
        <v>1.6632</v>
      </c>
      <c r="G34" s="147">
        <v>9.06</v>
      </c>
      <c r="H34" s="147">
        <v>0.54</v>
      </c>
      <c r="I34" s="147">
        <f t="shared" si="10"/>
        <v>0.90600000000000014</v>
      </c>
      <c r="J34" s="147">
        <f t="shared" si="6"/>
        <v>15.068592000000001</v>
      </c>
      <c r="K34" s="147">
        <f t="shared" si="7"/>
        <v>0.89812800000000004</v>
      </c>
      <c r="L34" s="147">
        <f t="shared" si="8"/>
        <v>1.5068592000000003</v>
      </c>
      <c r="M34" s="147">
        <f t="shared" si="9"/>
        <v>17.4735792</v>
      </c>
      <c r="N34" s="119"/>
      <c r="P34" s="105">
        <f t="shared" si="0"/>
        <v>17.4735792</v>
      </c>
      <c r="CD34" s="104"/>
      <c r="CE34" s="104"/>
      <c r="CF34" s="104"/>
      <c r="CG34" s="104"/>
      <c r="CH34" s="104"/>
      <c r="CI34" s="104"/>
      <c r="CJ34" s="104"/>
      <c r="CK34" s="104"/>
    </row>
    <row r="35" spans="1:89">
      <c r="A35" s="160"/>
      <c r="B35" s="129">
        <v>26</v>
      </c>
      <c r="C35" s="111" t="s">
        <v>463</v>
      </c>
      <c r="D35" s="123" t="s">
        <v>13</v>
      </c>
      <c r="E35" s="147"/>
      <c r="F35" s="147">
        <f>3*0.3*0.44*1.1</f>
        <v>0.43559999999999999</v>
      </c>
      <c r="G35" s="147">
        <v>9.06</v>
      </c>
      <c r="H35" s="147">
        <v>0.54</v>
      </c>
      <c r="I35" s="147">
        <f t="shared" si="10"/>
        <v>0.90600000000000014</v>
      </c>
      <c r="J35" s="147">
        <f t="shared" si="6"/>
        <v>3.946536</v>
      </c>
      <c r="K35" s="147">
        <f t="shared" si="7"/>
        <v>0.23522400000000002</v>
      </c>
      <c r="L35" s="147">
        <f t="shared" si="8"/>
        <v>0.39465360000000005</v>
      </c>
      <c r="M35" s="147">
        <f t="shared" si="9"/>
        <v>4.5764135999999995</v>
      </c>
      <c r="N35" s="119"/>
      <c r="P35" s="105">
        <f t="shared" si="0"/>
        <v>4.5764135999999995</v>
      </c>
      <c r="CD35" s="104"/>
      <c r="CE35" s="104"/>
      <c r="CF35" s="104"/>
      <c r="CG35" s="104"/>
      <c r="CH35" s="104"/>
      <c r="CI35" s="104"/>
      <c r="CJ35" s="104"/>
      <c r="CK35" s="104"/>
    </row>
    <row r="36" spans="1:89">
      <c r="A36" s="160"/>
      <c r="B36" s="129">
        <v>27</v>
      </c>
      <c r="C36" s="111" t="s">
        <v>464</v>
      </c>
      <c r="D36" s="123" t="s">
        <v>13</v>
      </c>
      <c r="E36" s="147"/>
      <c r="F36" s="147">
        <f>6.6*0.4*0.44*1.1</f>
        <v>1.27776</v>
      </c>
      <c r="G36" s="147">
        <v>9.06</v>
      </c>
      <c r="H36" s="147">
        <v>0.54</v>
      </c>
      <c r="I36" s="147">
        <f t="shared" si="10"/>
        <v>0.90600000000000014</v>
      </c>
      <c r="J36" s="147">
        <f t="shared" si="6"/>
        <v>11.576505600000001</v>
      </c>
      <c r="K36" s="147">
        <f t="shared" si="7"/>
        <v>0.6899904</v>
      </c>
      <c r="L36" s="147">
        <f t="shared" si="8"/>
        <v>1.1576505600000002</v>
      </c>
      <c r="M36" s="147">
        <f t="shared" si="9"/>
        <v>13.424146560000001</v>
      </c>
      <c r="N36" s="119"/>
      <c r="P36" s="105">
        <f t="shared" si="0"/>
        <v>13.424146560000001</v>
      </c>
      <c r="CD36" s="104"/>
      <c r="CE36" s="104"/>
      <c r="CF36" s="104"/>
      <c r="CG36" s="104"/>
      <c r="CH36" s="104"/>
      <c r="CI36" s="104"/>
      <c r="CJ36" s="104"/>
      <c r="CK36" s="104"/>
    </row>
    <row r="37" spans="1:89">
      <c r="A37" s="160"/>
      <c r="B37" s="129">
        <v>28</v>
      </c>
      <c r="C37" s="110" t="s">
        <v>247</v>
      </c>
      <c r="D37" s="123" t="s">
        <v>13</v>
      </c>
      <c r="E37" s="147"/>
      <c r="F37" s="147">
        <f>4*0.3*0.44*1.1</f>
        <v>0.58080000000000009</v>
      </c>
      <c r="G37" s="147">
        <v>9.06</v>
      </c>
      <c r="H37" s="147">
        <v>0.54</v>
      </c>
      <c r="I37" s="147">
        <f t="shared" si="10"/>
        <v>0.90600000000000014</v>
      </c>
      <c r="J37" s="147">
        <f t="shared" si="6"/>
        <v>5.2620480000000009</v>
      </c>
      <c r="K37" s="147">
        <f t="shared" si="7"/>
        <v>0.31363200000000008</v>
      </c>
      <c r="L37" s="147">
        <f t="shared" si="8"/>
        <v>0.52620480000000014</v>
      </c>
      <c r="M37" s="147">
        <f t="shared" si="9"/>
        <v>6.1018848000000014</v>
      </c>
      <c r="N37" s="119"/>
      <c r="P37" s="105">
        <f t="shared" si="0"/>
        <v>6.1018848000000014</v>
      </c>
      <c r="CD37" s="104"/>
      <c r="CE37" s="104"/>
      <c r="CF37" s="104"/>
      <c r="CG37" s="104"/>
      <c r="CH37" s="104"/>
      <c r="CI37" s="104"/>
      <c r="CJ37" s="104"/>
      <c r="CK37" s="104"/>
    </row>
    <row r="38" spans="1:89" ht="25.5" customHeight="1">
      <c r="A38" s="160"/>
      <c r="B38" s="129">
        <v>29</v>
      </c>
      <c r="C38" s="111" t="s">
        <v>248</v>
      </c>
      <c r="D38" s="123" t="s">
        <v>13</v>
      </c>
      <c r="E38" s="147"/>
      <c r="F38" s="147">
        <f>2*0.4*0.44*1.1</f>
        <v>0.38720000000000004</v>
      </c>
      <c r="G38" s="147">
        <v>9.06</v>
      </c>
      <c r="H38" s="147">
        <v>0.54</v>
      </c>
      <c r="I38" s="147">
        <f t="shared" si="10"/>
        <v>0.90600000000000014</v>
      </c>
      <c r="J38" s="147">
        <f t="shared" si="6"/>
        <v>3.5080320000000005</v>
      </c>
      <c r="K38" s="147">
        <f t="shared" si="7"/>
        <v>0.20908800000000002</v>
      </c>
      <c r="L38" s="147">
        <f t="shared" si="8"/>
        <v>0.35080320000000009</v>
      </c>
      <c r="M38" s="147">
        <f t="shared" si="9"/>
        <v>4.067923200000001</v>
      </c>
      <c r="N38" s="119"/>
      <c r="P38" s="105">
        <f t="shared" si="0"/>
        <v>4.067923200000001</v>
      </c>
      <c r="CD38" s="104"/>
      <c r="CE38" s="104"/>
      <c r="CF38" s="104"/>
      <c r="CG38" s="104"/>
      <c r="CH38" s="104"/>
      <c r="CI38" s="104"/>
      <c r="CJ38" s="104"/>
      <c r="CK38" s="104"/>
    </row>
    <row r="39" spans="1:89" ht="25.5" customHeight="1">
      <c r="A39" s="160"/>
      <c r="B39" s="129">
        <v>30</v>
      </c>
      <c r="C39" s="111" t="s">
        <v>249</v>
      </c>
      <c r="D39" s="123" t="s">
        <v>13</v>
      </c>
      <c r="E39" s="147"/>
      <c r="F39" s="147">
        <f>3.8*0.4*0.44*1.1</f>
        <v>0.73568000000000011</v>
      </c>
      <c r="G39" s="147">
        <v>9.06</v>
      </c>
      <c r="H39" s="147">
        <v>0.54</v>
      </c>
      <c r="I39" s="147">
        <f t="shared" si="10"/>
        <v>0.90600000000000014</v>
      </c>
      <c r="J39" s="147">
        <f t="shared" si="6"/>
        <v>6.6652608000000013</v>
      </c>
      <c r="K39" s="147">
        <f t="shared" si="7"/>
        <v>0.3972672000000001</v>
      </c>
      <c r="L39" s="147">
        <f t="shared" si="8"/>
        <v>0.66652608000000024</v>
      </c>
      <c r="M39" s="147">
        <f t="shared" si="9"/>
        <v>7.7290540800000018</v>
      </c>
      <c r="N39" s="119"/>
      <c r="P39" s="105">
        <f t="shared" si="0"/>
        <v>7.7290540800000018</v>
      </c>
      <c r="CD39" s="104"/>
      <c r="CE39" s="104"/>
      <c r="CF39" s="104"/>
      <c r="CG39" s="104"/>
      <c r="CH39" s="104"/>
      <c r="CI39" s="104"/>
      <c r="CJ39" s="104"/>
      <c r="CK39" s="104"/>
    </row>
    <row r="40" spans="1:89" ht="25.5" customHeight="1">
      <c r="A40" s="160"/>
      <c r="B40" s="129">
        <v>31</v>
      </c>
      <c r="C40" s="111" t="s">
        <v>250</v>
      </c>
      <c r="D40" s="123" t="s">
        <v>13</v>
      </c>
      <c r="E40" s="147"/>
      <c r="F40" s="147">
        <f>3.6*0.4*0.44*1.1</f>
        <v>0.69696000000000013</v>
      </c>
      <c r="G40" s="147">
        <v>9.06</v>
      </c>
      <c r="H40" s="147">
        <v>0.54</v>
      </c>
      <c r="I40" s="147">
        <f t="shared" si="10"/>
        <v>0.90600000000000014</v>
      </c>
      <c r="J40" s="147">
        <f t="shared" si="6"/>
        <v>6.3144576000000017</v>
      </c>
      <c r="K40" s="147">
        <f t="shared" si="7"/>
        <v>0.37635840000000009</v>
      </c>
      <c r="L40" s="147">
        <f t="shared" si="8"/>
        <v>0.63144576000000019</v>
      </c>
      <c r="M40" s="147">
        <f t="shared" si="9"/>
        <v>7.3222617600000017</v>
      </c>
      <c r="N40" s="119"/>
      <c r="P40" s="105">
        <f t="shared" si="0"/>
        <v>7.3222617600000017</v>
      </c>
      <c r="CD40" s="104"/>
      <c r="CE40" s="104"/>
      <c r="CF40" s="104"/>
      <c r="CG40" s="104"/>
      <c r="CH40" s="104"/>
      <c r="CI40" s="104"/>
      <c r="CJ40" s="104"/>
      <c r="CK40" s="104"/>
    </row>
    <row r="41" spans="1:89" s="112" customFormat="1" ht="12.75" customHeight="1">
      <c r="A41" s="162"/>
      <c r="B41" s="129">
        <v>32</v>
      </c>
      <c r="C41" s="118" t="s">
        <v>277</v>
      </c>
      <c r="D41" s="124" t="s">
        <v>16</v>
      </c>
      <c r="E41" s="205"/>
      <c r="F41" s="205">
        <v>0.6</v>
      </c>
      <c r="G41" s="205"/>
      <c r="H41" s="205">
        <v>200</v>
      </c>
      <c r="I41" s="205">
        <f t="shared" ref="I41:I46" si="11">H41*0.03</f>
        <v>6</v>
      </c>
      <c r="J41" s="147">
        <f t="shared" ref="J41:J48" si="12">F41*G41</f>
        <v>0</v>
      </c>
      <c r="K41" s="147">
        <f t="shared" ref="K41:K48" si="13">F41*H41</f>
        <v>120</v>
      </c>
      <c r="L41" s="147">
        <f t="shared" ref="L41:L48" si="14">F41*I41</f>
        <v>3.5999999999999996</v>
      </c>
      <c r="M41" s="147">
        <f t="shared" ref="M41:M48" si="15">J41+K41+L41</f>
        <v>123.6</v>
      </c>
      <c r="N41" s="120"/>
      <c r="O41" s="113"/>
      <c r="P41" s="105">
        <f t="shared" si="0"/>
        <v>123.6</v>
      </c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</row>
    <row r="42" spans="1:89" s="112" customFormat="1" ht="12.75" customHeight="1">
      <c r="A42" s="162"/>
      <c r="B42" s="129">
        <v>33</v>
      </c>
      <c r="C42" s="118" t="s">
        <v>251</v>
      </c>
      <c r="D42" s="124" t="s">
        <v>274</v>
      </c>
      <c r="E42" s="205"/>
      <c r="F42" s="205">
        <v>10</v>
      </c>
      <c r="G42" s="205"/>
      <c r="H42" s="205">
        <v>6.25</v>
      </c>
      <c r="I42" s="205">
        <f t="shared" si="11"/>
        <v>0.1875</v>
      </c>
      <c r="J42" s="147">
        <f t="shared" si="12"/>
        <v>0</v>
      </c>
      <c r="K42" s="147">
        <f t="shared" si="13"/>
        <v>62.5</v>
      </c>
      <c r="L42" s="147">
        <f t="shared" si="14"/>
        <v>1.875</v>
      </c>
      <c r="M42" s="147">
        <f t="shared" si="15"/>
        <v>64.375</v>
      </c>
      <c r="N42" s="120"/>
      <c r="O42" s="113"/>
      <c r="P42" s="105">
        <f t="shared" si="0"/>
        <v>64.375</v>
      </c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</row>
    <row r="43" spans="1:89" s="112" customFormat="1">
      <c r="A43" s="162"/>
      <c r="B43" s="129">
        <v>34</v>
      </c>
      <c r="C43" s="106" t="s">
        <v>27</v>
      </c>
      <c r="D43" s="124" t="s">
        <v>13</v>
      </c>
      <c r="E43" s="205">
        <v>1.8</v>
      </c>
      <c r="F43" s="205">
        <f>(F29+(F29/F31)*(F32+F33+F34+F35+F36+F37+F38+F39+F40))*0.04/3</f>
        <v>0.66967195767195786</v>
      </c>
      <c r="G43" s="205"/>
      <c r="H43" s="205">
        <v>79</v>
      </c>
      <c r="I43" s="205">
        <f t="shared" si="11"/>
        <v>2.37</v>
      </c>
      <c r="J43" s="147">
        <f t="shared" si="12"/>
        <v>0</v>
      </c>
      <c r="K43" s="147">
        <f t="shared" si="13"/>
        <v>52.90408465608467</v>
      </c>
      <c r="L43" s="147">
        <f t="shared" si="14"/>
        <v>1.5871225396825401</v>
      </c>
      <c r="M43" s="147">
        <f t="shared" si="15"/>
        <v>54.49120719576721</v>
      </c>
      <c r="N43" s="120"/>
      <c r="O43" s="113"/>
      <c r="P43" s="105">
        <f t="shared" si="0"/>
        <v>54.49120719576721</v>
      </c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</row>
    <row r="44" spans="1:89" s="112" customFormat="1">
      <c r="A44" s="162"/>
      <c r="B44" s="129">
        <v>35</v>
      </c>
      <c r="C44" s="106" t="s">
        <v>17</v>
      </c>
      <c r="D44" s="124" t="s">
        <v>16</v>
      </c>
      <c r="E44" s="205">
        <v>0.32</v>
      </c>
      <c r="F44" s="205">
        <f>F30+(F30/2.5)*(F32+F33+F34+F35+F36+F37+F38+F39+F40)</f>
        <v>0.75669600000000004</v>
      </c>
      <c r="G44" s="205"/>
      <c r="H44" s="205">
        <v>200</v>
      </c>
      <c r="I44" s="205">
        <f t="shared" si="11"/>
        <v>6</v>
      </c>
      <c r="J44" s="147">
        <f t="shared" si="12"/>
        <v>0</v>
      </c>
      <c r="K44" s="147">
        <f t="shared" si="13"/>
        <v>151.33920000000001</v>
      </c>
      <c r="L44" s="147">
        <f t="shared" si="14"/>
        <v>4.5401760000000007</v>
      </c>
      <c r="M44" s="147">
        <f t="shared" si="15"/>
        <v>155.87937600000001</v>
      </c>
      <c r="N44" s="120"/>
      <c r="O44" s="113"/>
      <c r="P44" s="105">
        <f t="shared" si="0"/>
        <v>155.87937600000001</v>
      </c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</row>
    <row r="45" spans="1:89" s="112" customFormat="1">
      <c r="A45" s="162"/>
      <c r="B45" s="129">
        <v>36</v>
      </c>
      <c r="C45" s="106" t="s">
        <v>46</v>
      </c>
      <c r="D45" s="124" t="s">
        <v>47</v>
      </c>
      <c r="E45" s="205">
        <v>25</v>
      </c>
      <c r="F45" s="205">
        <v>8</v>
      </c>
      <c r="G45" s="205"/>
      <c r="H45" s="205">
        <v>3.2</v>
      </c>
      <c r="I45" s="205">
        <f t="shared" si="11"/>
        <v>9.6000000000000002E-2</v>
      </c>
      <c r="J45" s="147">
        <f t="shared" si="12"/>
        <v>0</v>
      </c>
      <c r="K45" s="147">
        <f t="shared" si="13"/>
        <v>25.6</v>
      </c>
      <c r="L45" s="147">
        <f t="shared" si="14"/>
        <v>0.76800000000000002</v>
      </c>
      <c r="M45" s="147">
        <f t="shared" si="15"/>
        <v>26.368000000000002</v>
      </c>
      <c r="N45" s="120"/>
      <c r="O45" s="113"/>
      <c r="P45" s="105">
        <f t="shared" si="0"/>
        <v>26.368000000000002</v>
      </c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</row>
    <row r="46" spans="1:89" s="112" customFormat="1">
      <c r="A46" s="162"/>
      <c r="B46" s="129">
        <v>37</v>
      </c>
      <c r="C46" s="106" t="s">
        <v>19</v>
      </c>
      <c r="D46" s="124" t="s">
        <v>13</v>
      </c>
      <c r="E46" s="205">
        <v>16.5</v>
      </c>
      <c r="F46" s="205">
        <f>F31+F32+F33+F34+F35+F36+F37+F38+F39+F40</f>
        <v>12.656800000000002</v>
      </c>
      <c r="G46" s="205"/>
      <c r="H46" s="205">
        <v>25.8</v>
      </c>
      <c r="I46" s="205">
        <f t="shared" si="11"/>
        <v>0.77400000000000002</v>
      </c>
      <c r="J46" s="147">
        <f t="shared" si="12"/>
        <v>0</v>
      </c>
      <c r="K46" s="147">
        <f t="shared" si="13"/>
        <v>326.54544000000004</v>
      </c>
      <c r="L46" s="147">
        <f t="shared" si="14"/>
        <v>9.7963632000000018</v>
      </c>
      <c r="M46" s="147">
        <f t="shared" si="15"/>
        <v>336.34180320000007</v>
      </c>
      <c r="N46" s="120"/>
      <c r="O46" s="113"/>
      <c r="P46" s="105">
        <f t="shared" si="0"/>
        <v>336.34180320000007</v>
      </c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</row>
    <row r="47" spans="1:89">
      <c r="A47" s="160"/>
      <c r="B47" s="129">
        <v>38</v>
      </c>
      <c r="C47" s="114" t="s">
        <v>282</v>
      </c>
      <c r="D47" s="122"/>
      <c r="E47" s="147"/>
      <c r="F47" s="147"/>
      <c r="G47" s="147"/>
      <c r="H47" s="147"/>
      <c r="I47" s="147"/>
      <c r="J47" s="147">
        <f t="shared" si="12"/>
        <v>0</v>
      </c>
      <c r="K47" s="147">
        <f t="shared" si="13"/>
        <v>0</v>
      </c>
      <c r="L47" s="147">
        <f t="shared" si="14"/>
        <v>0</v>
      </c>
      <c r="M47" s="147">
        <f t="shared" si="15"/>
        <v>0</v>
      </c>
      <c r="N47" s="119"/>
      <c r="P47" s="105">
        <f t="shared" si="0"/>
        <v>0</v>
      </c>
      <c r="CD47" s="104"/>
      <c r="CE47" s="104"/>
      <c r="CF47" s="104"/>
      <c r="CG47" s="104"/>
      <c r="CH47" s="104"/>
      <c r="CI47" s="104"/>
      <c r="CJ47" s="104"/>
      <c r="CK47" s="104"/>
    </row>
    <row r="48" spans="1:89" ht="25.5" customHeight="1">
      <c r="A48" s="160"/>
      <c r="B48" s="129">
        <v>39</v>
      </c>
      <c r="C48" s="111" t="s">
        <v>253</v>
      </c>
      <c r="D48" s="123" t="s">
        <v>6</v>
      </c>
      <c r="E48" s="147">
        <v>82</v>
      </c>
      <c r="F48" s="147">
        <v>21.67</v>
      </c>
      <c r="G48" s="147">
        <v>1.25</v>
      </c>
      <c r="H48" s="147">
        <v>1.3</v>
      </c>
      <c r="I48" s="147">
        <f>G48*0.1</f>
        <v>0.125</v>
      </c>
      <c r="J48" s="147">
        <f t="shared" si="12"/>
        <v>27.087500000000002</v>
      </c>
      <c r="K48" s="147">
        <f t="shared" si="13"/>
        <v>28.171000000000003</v>
      </c>
      <c r="L48" s="147">
        <f t="shared" si="14"/>
        <v>2.7087500000000002</v>
      </c>
      <c r="M48" s="147">
        <f t="shared" si="15"/>
        <v>57.967250000000007</v>
      </c>
      <c r="N48" s="119"/>
      <c r="P48" s="105">
        <f t="shared" si="0"/>
        <v>57.967250000000007</v>
      </c>
      <c r="CD48" s="104"/>
      <c r="CE48" s="104"/>
      <c r="CF48" s="104"/>
      <c r="CG48" s="104"/>
      <c r="CH48" s="104"/>
      <c r="CI48" s="104"/>
      <c r="CJ48" s="104"/>
      <c r="CK48" s="104"/>
    </row>
    <row r="49" spans="1:89">
      <c r="A49" s="160"/>
      <c r="B49" s="129">
        <v>40</v>
      </c>
      <c r="C49" s="110" t="s">
        <v>15</v>
      </c>
      <c r="D49" s="123" t="s">
        <v>16</v>
      </c>
      <c r="E49" s="147">
        <v>0.32</v>
      </c>
      <c r="F49" s="147">
        <v>0.3</v>
      </c>
      <c r="G49" s="147">
        <v>55</v>
      </c>
      <c r="H49" s="147">
        <v>4.5199999999999996</v>
      </c>
      <c r="I49" s="147">
        <f>G49*0.1</f>
        <v>5.5</v>
      </c>
      <c r="J49" s="147">
        <f t="shared" ref="J49:J65" si="16">F49*G49</f>
        <v>16.5</v>
      </c>
      <c r="K49" s="147">
        <f t="shared" ref="K49:K65" si="17">F49*H49</f>
        <v>1.3559999999999999</v>
      </c>
      <c r="L49" s="147">
        <f t="shared" ref="L49:L65" si="18">F49*I49</f>
        <v>1.65</v>
      </c>
      <c r="M49" s="147">
        <f t="shared" ref="M49:M65" si="19">J49+K49+L49</f>
        <v>19.506</v>
      </c>
      <c r="N49" s="119"/>
      <c r="P49" s="105">
        <f t="shared" si="0"/>
        <v>19.506</v>
      </c>
      <c r="CD49" s="104"/>
      <c r="CE49" s="104"/>
      <c r="CF49" s="104"/>
      <c r="CG49" s="104"/>
      <c r="CH49" s="104"/>
      <c r="CI49" s="104"/>
      <c r="CJ49" s="104"/>
      <c r="CK49" s="104"/>
    </row>
    <row r="50" spans="1:89">
      <c r="A50" s="160"/>
      <c r="B50" s="129">
        <v>41</v>
      </c>
      <c r="C50" s="110" t="s">
        <v>18</v>
      </c>
      <c r="D50" s="123" t="s">
        <v>13</v>
      </c>
      <c r="E50" s="147">
        <v>16.5</v>
      </c>
      <c r="F50" s="147">
        <f>F48/2*0.8*0.3*1.05</f>
        <v>2.7304200000000001</v>
      </c>
      <c r="G50" s="147">
        <v>4.8499999999999996</v>
      </c>
      <c r="H50" s="147"/>
      <c r="I50" s="147">
        <f>G50*0.1</f>
        <v>0.48499999999999999</v>
      </c>
      <c r="J50" s="147">
        <f t="shared" si="16"/>
        <v>13.242536999999999</v>
      </c>
      <c r="K50" s="147">
        <f t="shared" si="17"/>
        <v>0</v>
      </c>
      <c r="L50" s="147">
        <f t="shared" si="18"/>
        <v>1.3242537000000001</v>
      </c>
      <c r="M50" s="147">
        <f t="shared" si="19"/>
        <v>14.566790699999999</v>
      </c>
      <c r="N50" s="119"/>
      <c r="P50" s="105">
        <f t="shared" si="0"/>
        <v>14.566790699999999</v>
      </c>
      <c r="CD50" s="104"/>
      <c r="CE50" s="104"/>
      <c r="CF50" s="104"/>
      <c r="CG50" s="104"/>
      <c r="CH50" s="104"/>
      <c r="CI50" s="104"/>
      <c r="CJ50" s="104"/>
      <c r="CK50" s="104"/>
    </row>
    <row r="51" spans="1:89" s="112" customFormat="1">
      <c r="A51" s="162"/>
      <c r="B51" s="129">
        <v>42</v>
      </c>
      <c r="C51" s="106" t="s">
        <v>27</v>
      </c>
      <c r="D51" s="124" t="s">
        <v>13</v>
      </c>
      <c r="E51" s="205">
        <v>1.8</v>
      </c>
      <c r="F51" s="205">
        <f>F48*0.04</f>
        <v>0.86680000000000013</v>
      </c>
      <c r="G51" s="205"/>
      <c r="H51" s="205">
        <v>79</v>
      </c>
      <c r="I51" s="205">
        <f>H51*0.03</f>
        <v>2.37</v>
      </c>
      <c r="J51" s="147">
        <f t="shared" si="16"/>
        <v>0</v>
      </c>
      <c r="K51" s="147">
        <f t="shared" si="17"/>
        <v>68.477200000000011</v>
      </c>
      <c r="L51" s="147">
        <f t="shared" si="18"/>
        <v>2.0543160000000005</v>
      </c>
      <c r="M51" s="147">
        <f t="shared" si="19"/>
        <v>70.531516000000011</v>
      </c>
      <c r="N51" s="120"/>
      <c r="O51" s="113"/>
      <c r="P51" s="105">
        <f t="shared" si="0"/>
        <v>70.531516000000011</v>
      </c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</row>
    <row r="52" spans="1:89" s="112" customFormat="1">
      <c r="A52" s="162"/>
      <c r="B52" s="129">
        <v>43</v>
      </c>
      <c r="C52" s="106" t="s">
        <v>17</v>
      </c>
      <c r="D52" s="124" t="s">
        <v>16</v>
      </c>
      <c r="E52" s="205">
        <v>0.32</v>
      </c>
      <c r="F52" s="147">
        <v>0.3</v>
      </c>
      <c r="G52" s="205"/>
      <c r="H52" s="205">
        <v>200</v>
      </c>
      <c r="I52" s="205">
        <f>H52*0.03</f>
        <v>6</v>
      </c>
      <c r="J52" s="147">
        <f t="shared" si="16"/>
        <v>0</v>
      </c>
      <c r="K52" s="147">
        <f t="shared" si="17"/>
        <v>60</v>
      </c>
      <c r="L52" s="147">
        <f t="shared" si="18"/>
        <v>1.7999999999999998</v>
      </c>
      <c r="M52" s="147">
        <f t="shared" si="19"/>
        <v>61.8</v>
      </c>
      <c r="N52" s="120"/>
      <c r="O52" s="113"/>
      <c r="P52" s="105">
        <f t="shared" si="0"/>
        <v>61.8</v>
      </c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</row>
    <row r="53" spans="1:89" s="112" customFormat="1">
      <c r="A53" s="162"/>
      <c r="B53" s="129">
        <v>44</v>
      </c>
      <c r="C53" s="106" t="s">
        <v>46</v>
      </c>
      <c r="D53" s="124" t="s">
        <v>47</v>
      </c>
      <c r="E53" s="205">
        <v>25</v>
      </c>
      <c r="F53" s="205">
        <v>8</v>
      </c>
      <c r="G53" s="205"/>
      <c r="H53" s="205">
        <v>3.2</v>
      </c>
      <c r="I53" s="205">
        <f>H53*0.03</f>
        <v>9.6000000000000002E-2</v>
      </c>
      <c r="J53" s="147">
        <f t="shared" si="16"/>
        <v>0</v>
      </c>
      <c r="K53" s="147">
        <f t="shared" si="17"/>
        <v>25.6</v>
      </c>
      <c r="L53" s="147">
        <f t="shared" si="18"/>
        <v>0.76800000000000002</v>
      </c>
      <c r="M53" s="147">
        <f t="shared" si="19"/>
        <v>26.368000000000002</v>
      </c>
      <c r="N53" s="120"/>
      <c r="O53" s="113"/>
      <c r="P53" s="105">
        <f t="shared" si="0"/>
        <v>26.368000000000002</v>
      </c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</row>
    <row r="54" spans="1:89" s="112" customFormat="1">
      <c r="A54" s="162"/>
      <c r="B54" s="129">
        <v>45</v>
      </c>
      <c r="C54" s="106" t="s">
        <v>19</v>
      </c>
      <c r="D54" s="124" t="s">
        <v>13</v>
      </c>
      <c r="E54" s="205">
        <v>16.5</v>
      </c>
      <c r="F54" s="205">
        <v>2.7</v>
      </c>
      <c r="G54" s="205"/>
      <c r="H54" s="205">
        <v>25.8</v>
      </c>
      <c r="I54" s="205">
        <f>H54*0.03</f>
        <v>0.77400000000000002</v>
      </c>
      <c r="J54" s="147">
        <f t="shared" si="16"/>
        <v>0</v>
      </c>
      <c r="K54" s="147">
        <f t="shared" si="17"/>
        <v>69.660000000000011</v>
      </c>
      <c r="L54" s="147">
        <f t="shared" si="18"/>
        <v>2.0898000000000003</v>
      </c>
      <c r="M54" s="147">
        <f t="shared" si="19"/>
        <v>71.749800000000008</v>
      </c>
      <c r="N54" s="120"/>
      <c r="O54" s="113"/>
      <c r="P54" s="105">
        <f t="shared" si="0"/>
        <v>71.749800000000008</v>
      </c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</row>
    <row r="55" spans="1:89">
      <c r="A55" s="160"/>
      <c r="B55" s="129">
        <v>46</v>
      </c>
      <c r="C55" s="132" t="s">
        <v>254</v>
      </c>
      <c r="D55" s="123"/>
      <c r="E55" s="147"/>
      <c r="F55" s="147"/>
      <c r="G55" s="147"/>
      <c r="H55" s="147"/>
      <c r="I55" s="147"/>
      <c r="J55" s="147">
        <f t="shared" si="16"/>
        <v>0</v>
      </c>
      <c r="K55" s="147">
        <f t="shared" si="17"/>
        <v>0</v>
      </c>
      <c r="L55" s="147">
        <f t="shared" si="18"/>
        <v>0</v>
      </c>
      <c r="M55" s="147">
        <f t="shared" si="19"/>
        <v>0</v>
      </c>
      <c r="N55" s="119"/>
      <c r="P55" s="105">
        <f t="shared" si="0"/>
        <v>0</v>
      </c>
      <c r="CD55" s="104"/>
      <c r="CE55" s="104"/>
      <c r="CF55" s="104"/>
      <c r="CG55" s="104"/>
      <c r="CH55" s="104"/>
      <c r="CI55" s="104"/>
      <c r="CJ55" s="104"/>
      <c r="CK55" s="104"/>
    </row>
    <row r="56" spans="1:89">
      <c r="A56" s="160"/>
      <c r="B56" s="129">
        <v>47</v>
      </c>
      <c r="C56" s="110" t="s">
        <v>255</v>
      </c>
      <c r="D56" s="123" t="s">
        <v>6</v>
      </c>
      <c r="E56" s="147"/>
      <c r="F56" s="147">
        <v>2.25</v>
      </c>
      <c r="G56" s="147">
        <v>0.25</v>
      </c>
      <c r="H56" s="147">
        <v>0.01</v>
      </c>
      <c r="I56" s="147">
        <f>G56*0.25</f>
        <v>6.25E-2</v>
      </c>
      <c r="J56" s="147">
        <f t="shared" si="16"/>
        <v>0.5625</v>
      </c>
      <c r="K56" s="147">
        <f t="shared" si="17"/>
        <v>2.2499999999999999E-2</v>
      </c>
      <c r="L56" s="147">
        <f t="shared" si="18"/>
        <v>0.140625</v>
      </c>
      <c r="M56" s="147">
        <f t="shared" si="19"/>
        <v>0.72562499999999996</v>
      </c>
      <c r="N56" s="119"/>
      <c r="P56" s="105">
        <f t="shared" si="0"/>
        <v>0.72562499999999996</v>
      </c>
      <c r="CD56" s="104"/>
      <c r="CE56" s="104"/>
      <c r="CF56" s="104"/>
      <c r="CG56" s="104"/>
      <c r="CH56" s="104"/>
      <c r="CI56" s="104"/>
      <c r="CJ56" s="104"/>
      <c r="CK56" s="104"/>
    </row>
    <row r="57" spans="1:89" ht="24">
      <c r="A57" s="160"/>
      <c r="B57" s="129">
        <v>48</v>
      </c>
      <c r="C57" s="111" t="s">
        <v>252</v>
      </c>
      <c r="D57" s="123" t="s">
        <v>13</v>
      </c>
      <c r="E57" s="147"/>
      <c r="F57" s="147">
        <f>F56*0.9*2</f>
        <v>4.05</v>
      </c>
      <c r="G57" s="147">
        <v>8.6999999999999993</v>
      </c>
      <c r="H57" s="147">
        <v>0.03</v>
      </c>
      <c r="I57" s="147">
        <f>G57*0.1</f>
        <v>0.87</v>
      </c>
      <c r="J57" s="147">
        <f t="shared" si="16"/>
        <v>35.234999999999992</v>
      </c>
      <c r="K57" s="147">
        <f t="shared" si="17"/>
        <v>0.1215</v>
      </c>
      <c r="L57" s="147">
        <f t="shared" si="18"/>
        <v>3.5234999999999999</v>
      </c>
      <c r="M57" s="147">
        <f t="shared" si="19"/>
        <v>38.879999999999988</v>
      </c>
      <c r="N57" s="119"/>
      <c r="P57" s="105">
        <f t="shared" si="0"/>
        <v>38.879999999999988</v>
      </c>
      <c r="CD57" s="104"/>
      <c r="CE57" s="104"/>
      <c r="CF57" s="104"/>
      <c r="CG57" s="104"/>
      <c r="CH57" s="104"/>
      <c r="CI57" s="104"/>
      <c r="CJ57" s="104"/>
      <c r="CK57" s="104"/>
    </row>
    <row r="58" spans="1:89" ht="25.5" customHeight="1">
      <c r="A58" s="160"/>
      <c r="B58" s="129">
        <v>49</v>
      </c>
      <c r="C58" s="111" t="s">
        <v>253</v>
      </c>
      <c r="D58" s="123" t="s">
        <v>6</v>
      </c>
      <c r="E58" s="147"/>
      <c r="F58" s="147">
        <f>0.8*0.8*4</f>
        <v>2.5600000000000005</v>
      </c>
      <c r="G58" s="147">
        <v>1.25</v>
      </c>
      <c r="H58" s="147">
        <v>1.3</v>
      </c>
      <c r="I58" s="147">
        <f>G58*0.1</f>
        <v>0.125</v>
      </c>
      <c r="J58" s="147">
        <f t="shared" si="16"/>
        <v>3.2000000000000006</v>
      </c>
      <c r="K58" s="147">
        <f t="shared" si="17"/>
        <v>3.3280000000000007</v>
      </c>
      <c r="L58" s="147">
        <f t="shared" si="18"/>
        <v>0.32000000000000006</v>
      </c>
      <c r="M58" s="147">
        <f t="shared" si="19"/>
        <v>6.8480000000000016</v>
      </c>
      <c r="N58" s="119"/>
      <c r="P58" s="105">
        <f t="shared" si="0"/>
        <v>6.8480000000000016</v>
      </c>
      <c r="CD58" s="104"/>
      <c r="CE58" s="104"/>
      <c r="CF58" s="104"/>
      <c r="CG58" s="104"/>
      <c r="CH58" s="104"/>
      <c r="CI58" s="104"/>
      <c r="CJ58" s="104"/>
      <c r="CK58" s="104"/>
    </row>
    <row r="59" spans="1:89">
      <c r="A59" s="160"/>
      <c r="B59" s="129">
        <v>50</v>
      </c>
      <c r="C59" s="110" t="s">
        <v>15</v>
      </c>
      <c r="D59" s="123" t="s">
        <v>16</v>
      </c>
      <c r="E59" s="147"/>
      <c r="F59" s="147">
        <v>7.4999999999999997E-2</v>
      </c>
      <c r="G59" s="147">
        <v>55</v>
      </c>
      <c r="H59" s="147">
        <v>4.5199999999999996</v>
      </c>
      <c r="I59" s="147">
        <f>G59*0.1</f>
        <v>5.5</v>
      </c>
      <c r="J59" s="147">
        <f t="shared" si="16"/>
        <v>4.125</v>
      </c>
      <c r="K59" s="147">
        <f t="shared" si="17"/>
        <v>0.33899999999999997</v>
      </c>
      <c r="L59" s="147">
        <f t="shared" si="18"/>
        <v>0.41249999999999998</v>
      </c>
      <c r="M59" s="147">
        <f t="shared" si="19"/>
        <v>4.8765000000000001</v>
      </c>
      <c r="N59" s="119"/>
      <c r="P59" s="105">
        <f t="shared" si="0"/>
        <v>4.8765000000000001</v>
      </c>
      <c r="CD59" s="104"/>
      <c r="CE59" s="104"/>
      <c r="CF59" s="104"/>
      <c r="CG59" s="104"/>
      <c r="CH59" s="104"/>
      <c r="CI59" s="104"/>
      <c r="CJ59" s="104"/>
      <c r="CK59" s="104"/>
    </row>
    <row r="60" spans="1:89">
      <c r="A60" s="160"/>
      <c r="B60" s="129">
        <v>51</v>
      </c>
      <c r="C60" s="110" t="s">
        <v>18</v>
      </c>
      <c r="D60" s="123" t="s">
        <v>13</v>
      </c>
      <c r="E60" s="147"/>
      <c r="F60" s="147">
        <f>0.3+0.6*0.6*0.6*1.1</f>
        <v>0.53759999999999997</v>
      </c>
      <c r="G60" s="147">
        <v>4.8499999999999996</v>
      </c>
      <c r="H60" s="147"/>
      <c r="I60" s="147">
        <f>G60*0.1</f>
        <v>0.48499999999999999</v>
      </c>
      <c r="J60" s="147">
        <f t="shared" si="16"/>
        <v>2.6073599999999995</v>
      </c>
      <c r="K60" s="147">
        <f t="shared" si="17"/>
        <v>0</v>
      </c>
      <c r="L60" s="147">
        <f t="shared" si="18"/>
        <v>0.26073599999999997</v>
      </c>
      <c r="M60" s="147">
        <f t="shared" si="19"/>
        <v>2.8680959999999995</v>
      </c>
      <c r="N60" s="119"/>
      <c r="P60" s="105">
        <f t="shared" si="0"/>
        <v>2.8680959999999995</v>
      </c>
      <c r="CD60" s="104"/>
      <c r="CE60" s="104"/>
      <c r="CF60" s="104"/>
      <c r="CG60" s="104"/>
      <c r="CH60" s="104"/>
      <c r="CI60" s="104"/>
      <c r="CJ60" s="104"/>
      <c r="CK60" s="104"/>
    </row>
    <row r="61" spans="1:89" s="112" customFormat="1">
      <c r="A61" s="162"/>
      <c r="B61" s="129">
        <v>52</v>
      </c>
      <c r="C61" s="106" t="s">
        <v>27</v>
      </c>
      <c r="D61" s="124" t="s">
        <v>13</v>
      </c>
      <c r="E61" s="205"/>
      <c r="F61" s="205">
        <v>0.2</v>
      </c>
      <c r="G61" s="205"/>
      <c r="H61" s="205">
        <v>79</v>
      </c>
      <c r="I61" s="205">
        <f>H61*0.03</f>
        <v>2.37</v>
      </c>
      <c r="J61" s="147">
        <f t="shared" si="16"/>
        <v>0</v>
      </c>
      <c r="K61" s="147">
        <f t="shared" si="17"/>
        <v>15.8</v>
      </c>
      <c r="L61" s="147">
        <f t="shared" si="18"/>
        <v>0.47400000000000003</v>
      </c>
      <c r="M61" s="147">
        <f t="shared" si="19"/>
        <v>16.274000000000001</v>
      </c>
      <c r="N61" s="120"/>
      <c r="O61" s="113"/>
      <c r="P61" s="105">
        <f t="shared" si="0"/>
        <v>16.274000000000001</v>
      </c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</row>
    <row r="62" spans="1:89" s="112" customFormat="1">
      <c r="A62" s="162"/>
      <c r="B62" s="129">
        <v>53</v>
      </c>
      <c r="C62" s="106" t="s">
        <v>17</v>
      </c>
      <c r="D62" s="124" t="s">
        <v>16</v>
      </c>
      <c r="E62" s="205"/>
      <c r="F62" s="205">
        <v>0.1</v>
      </c>
      <c r="G62" s="205"/>
      <c r="H62" s="205">
        <v>200</v>
      </c>
      <c r="I62" s="205">
        <f>H62*0.03</f>
        <v>6</v>
      </c>
      <c r="J62" s="147">
        <f t="shared" si="16"/>
        <v>0</v>
      </c>
      <c r="K62" s="147">
        <f t="shared" si="17"/>
        <v>20</v>
      </c>
      <c r="L62" s="147">
        <f t="shared" si="18"/>
        <v>0.60000000000000009</v>
      </c>
      <c r="M62" s="147">
        <f t="shared" si="19"/>
        <v>20.6</v>
      </c>
      <c r="N62" s="120"/>
      <c r="O62" s="113"/>
      <c r="P62" s="105">
        <f t="shared" si="0"/>
        <v>20.6</v>
      </c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</row>
    <row r="63" spans="1:89" s="112" customFormat="1">
      <c r="A63" s="162"/>
      <c r="B63" s="129">
        <v>54</v>
      </c>
      <c r="C63" s="106" t="s">
        <v>46</v>
      </c>
      <c r="D63" s="124" t="s">
        <v>47</v>
      </c>
      <c r="E63" s="205"/>
      <c r="F63" s="205">
        <v>2</v>
      </c>
      <c r="G63" s="205"/>
      <c r="H63" s="205">
        <v>3.2</v>
      </c>
      <c r="I63" s="205">
        <f>H63*0.03</f>
        <v>9.6000000000000002E-2</v>
      </c>
      <c r="J63" s="147">
        <f t="shared" si="16"/>
        <v>0</v>
      </c>
      <c r="K63" s="147">
        <f t="shared" si="17"/>
        <v>6.4</v>
      </c>
      <c r="L63" s="147">
        <f t="shared" si="18"/>
        <v>0.192</v>
      </c>
      <c r="M63" s="147">
        <f t="shared" si="19"/>
        <v>6.5920000000000005</v>
      </c>
      <c r="N63" s="120"/>
      <c r="O63" s="113"/>
      <c r="P63" s="105">
        <f t="shared" si="0"/>
        <v>6.5920000000000005</v>
      </c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</row>
    <row r="64" spans="1:89" s="112" customFormat="1">
      <c r="A64" s="162"/>
      <c r="B64" s="129">
        <v>55</v>
      </c>
      <c r="C64" s="106" t="s">
        <v>19</v>
      </c>
      <c r="D64" s="124" t="s">
        <v>13</v>
      </c>
      <c r="E64" s="205"/>
      <c r="F64" s="205">
        <v>0.5</v>
      </c>
      <c r="G64" s="205"/>
      <c r="H64" s="205">
        <v>25.8</v>
      </c>
      <c r="I64" s="205">
        <f>H64*0.03</f>
        <v>0.77400000000000002</v>
      </c>
      <c r="J64" s="147">
        <f t="shared" si="16"/>
        <v>0</v>
      </c>
      <c r="K64" s="147">
        <f t="shared" si="17"/>
        <v>12.9</v>
      </c>
      <c r="L64" s="147">
        <f t="shared" si="18"/>
        <v>0.38700000000000001</v>
      </c>
      <c r="M64" s="147">
        <f t="shared" si="19"/>
        <v>13.287000000000001</v>
      </c>
      <c r="N64" s="120"/>
      <c r="O64" s="113"/>
      <c r="P64" s="105">
        <f t="shared" si="0"/>
        <v>13.287000000000001</v>
      </c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</row>
    <row r="65" spans="1:89">
      <c r="A65" s="160"/>
      <c r="B65" s="129">
        <v>56</v>
      </c>
      <c r="C65" s="114" t="s">
        <v>256</v>
      </c>
      <c r="D65" s="123"/>
      <c r="E65" s="147"/>
      <c r="F65" s="147"/>
      <c r="G65" s="147"/>
      <c r="H65" s="147"/>
      <c r="I65" s="147"/>
      <c r="J65" s="147">
        <f t="shared" si="16"/>
        <v>0</v>
      </c>
      <c r="K65" s="147">
        <f t="shared" si="17"/>
        <v>0</v>
      </c>
      <c r="L65" s="147">
        <f t="shared" si="18"/>
        <v>0</v>
      </c>
      <c r="M65" s="147">
        <f t="shared" si="19"/>
        <v>0</v>
      </c>
      <c r="N65" s="119"/>
      <c r="P65" s="105">
        <f t="shared" si="0"/>
        <v>0</v>
      </c>
      <c r="CD65" s="104"/>
      <c r="CE65" s="104"/>
      <c r="CF65" s="104"/>
      <c r="CG65" s="104"/>
      <c r="CH65" s="104"/>
      <c r="CI65" s="104"/>
      <c r="CJ65" s="104"/>
      <c r="CK65" s="104"/>
    </row>
    <row r="66" spans="1:89" ht="24">
      <c r="A66" s="160"/>
      <c r="B66" s="129">
        <v>57</v>
      </c>
      <c r="C66" s="111" t="s">
        <v>252</v>
      </c>
      <c r="D66" s="123" t="s">
        <v>13</v>
      </c>
      <c r="E66" s="147"/>
      <c r="F66" s="147">
        <f>0.44*1.5</f>
        <v>0.66</v>
      </c>
      <c r="G66" s="147">
        <v>8.6999999999999993</v>
      </c>
      <c r="H66" s="147">
        <v>0.03</v>
      </c>
      <c r="I66" s="147">
        <f>G66*0.1</f>
        <v>0.87</v>
      </c>
      <c r="J66" s="147">
        <f t="shared" ref="J66:J80" si="20">F66*G66</f>
        <v>5.742</v>
      </c>
      <c r="K66" s="147">
        <f t="shared" ref="K66:K80" si="21">F66*H66</f>
        <v>1.9800000000000002E-2</v>
      </c>
      <c r="L66" s="147">
        <f t="shared" ref="L66:L80" si="22">F66*I66</f>
        <v>0.57420000000000004</v>
      </c>
      <c r="M66" s="147">
        <f t="shared" ref="M66:M80" si="23">J66+K66+L66</f>
        <v>6.3360000000000003</v>
      </c>
      <c r="N66" s="119"/>
      <c r="P66" s="105">
        <f t="shared" si="0"/>
        <v>6.3360000000000003</v>
      </c>
      <c r="CD66" s="104"/>
      <c r="CE66" s="104"/>
      <c r="CF66" s="104"/>
      <c r="CG66" s="104"/>
      <c r="CH66" s="104"/>
      <c r="CI66" s="104"/>
      <c r="CJ66" s="104"/>
      <c r="CK66" s="104"/>
    </row>
    <row r="67" spans="1:89" ht="25.5" customHeight="1">
      <c r="A67" s="160"/>
      <c r="B67" s="129">
        <v>58</v>
      </c>
      <c r="C67" s="111" t="s">
        <v>253</v>
      </c>
      <c r="D67" s="123" t="s">
        <v>6</v>
      </c>
      <c r="E67" s="147"/>
      <c r="F67" s="147">
        <v>2</v>
      </c>
      <c r="G67" s="147">
        <v>1.25</v>
      </c>
      <c r="H67" s="147">
        <v>1.3</v>
      </c>
      <c r="I67" s="147">
        <f>G67*0.1</f>
        <v>0.125</v>
      </c>
      <c r="J67" s="147">
        <f t="shared" si="20"/>
        <v>2.5</v>
      </c>
      <c r="K67" s="147">
        <f t="shared" si="21"/>
        <v>2.6</v>
      </c>
      <c r="L67" s="147">
        <f t="shared" si="22"/>
        <v>0.25</v>
      </c>
      <c r="M67" s="147">
        <f t="shared" si="23"/>
        <v>5.35</v>
      </c>
      <c r="N67" s="119"/>
      <c r="P67" s="105">
        <f t="shared" si="0"/>
        <v>5.35</v>
      </c>
      <c r="CD67" s="104"/>
      <c r="CE67" s="104"/>
      <c r="CF67" s="104"/>
      <c r="CG67" s="104"/>
      <c r="CH67" s="104"/>
      <c r="CI67" s="104"/>
      <c r="CJ67" s="104"/>
      <c r="CK67" s="104"/>
    </row>
    <row r="68" spans="1:89">
      <c r="A68" s="160"/>
      <c r="B68" s="129">
        <v>59</v>
      </c>
      <c r="C68" s="110" t="s">
        <v>15</v>
      </c>
      <c r="D68" s="123" t="s">
        <v>16</v>
      </c>
      <c r="E68" s="147"/>
      <c r="F68" s="147">
        <v>0.1</v>
      </c>
      <c r="G68" s="147">
        <v>55</v>
      </c>
      <c r="H68" s="147">
        <v>4.5199999999999996</v>
      </c>
      <c r="I68" s="147">
        <f>G68*0.1</f>
        <v>5.5</v>
      </c>
      <c r="J68" s="147">
        <f t="shared" si="20"/>
        <v>5.5</v>
      </c>
      <c r="K68" s="147">
        <f t="shared" si="21"/>
        <v>0.45199999999999996</v>
      </c>
      <c r="L68" s="147">
        <f t="shared" si="22"/>
        <v>0.55000000000000004</v>
      </c>
      <c r="M68" s="147">
        <f t="shared" si="23"/>
        <v>6.5019999999999998</v>
      </c>
      <c r="N68" s="119"/>
      <c r="P68" s="105">
        <f t="shared" si="0"/>
        <v>6.5019999999999998</v>
      </c>
      <c r="CD68" s="104"/>
      <c r="CE68" s="104"/>
      <c r="CF68" s="104"/>
      <c r="CG68" s="104"/>
      <c r="CH68" s="104"/>
      <c r="CI68" s="104"/>
      <c r="CJ68" s="104"/>
      <c r="CK68" s="104"/>
    </row>
    <row r="69" spans="1:89">
      <c r="A69" s="160"/>
      <c r="B69" s="129">
        <v>60</v>
      </c>
      <c r="C69" s="110" t="s">
        <v>18</v>
      </c>
      <c r="D69" s="123" t="s">
        <v>13</v>
      </c>
      <c r="E69" s="147"/>
      <c r="F69" s="147">
        <f>0.44*1.1</f>
        <v>0.48400000000000004</v>
      </c>
      <c r="G69" s="147">
        <v>4.8499999999999996</v>
      </c>
      <c r="H69" s="147"/>
      <c r="I69" s="147">
        <f>G69*0.1</f>
        <v>0.48499999999999999</v>
      </c>
      <c r="J69" s="147">
        <f t="shared" si="20"/>
        <v>2.3473999999999999</v>
      </c>
      <c r="K69" s="147">
        <f t="shared" si="21"/>
        <v>0</v>
      </c>
      <c r="L69" s="147">
        <f t="shared" si="22"/>
        <v>0.23474</v>
      </c>
      <c r="M69" s="147">
        <f t="shared" si="23"/>
        <v>2.5821399999999999</v>
      </c>
      <c r="N69" s="119"/>
      <c r="P69" s="105">
        <f t="shared" si="0"/>
        <v>2.5821399999999999</v>
      </c>
      <c r="CD69" s="104"/>
      <c r="CE69" s="104"/>
      <c r="CF69" s="104"/>
      <c r="CG69" s="104"/>
      <c r="CH69" s="104"/>
      <c r="CI69" s="104"/>
      <c r="CJ69" s="104"/>
      <c r="CK69" s="104"/>
    </row>
    <row r="70" spans="1:89" s="112" customFormat="1">
      <c r="A70" s="162"/>
      <c r="B70" s="129">
        <v>61</v>
      </c>
      <c r="C70" s="106" t="s">
        <v>27</v>
      </c>
      <c r="D70" s="124" t="s">
        <v>13</v>
      </c>
      <c r="E70" s="205"/>
      <c r="F70" s="205">
        <f>F67*0.04</f>
        <v>0.08</v>
      </c>
      <c r="G70" s="205"/>
      <c r="H70" s="205">
        <v>79</v>
      </c>
      <c r="I70" s="205">
        <f>H70*0.03</f>
        <v>2.37</v>
      </c>
      <c r="J70" s="147">
        <f t="shared" si="20"/>
        <v>0</v>
      </c>
      <c r="K70" s="147">
        <f t="shared" si="21"/>
        <v>6.32</v>
      </c>
      <c r="L70" s="147">
        <f t="shared" si="22"/>
        <v>0.18960000000000002</v>
      </c>
      <c r="M70" s="147">
        <f t="shared" si="23"/>
        <v>6.5096000000000007</v>
      </c>
      <c r="N70" s="120"/>
      <c r="O70" s="113"/>
      <c r="P70" s="105">
        <f t="shared" si="0"/>
        <v>6.5096000000000007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</row>
    <row r="71" spans="1:89" s="112" customFormat="1">
      <c r="A71" s="162"/>
      <c r="B71" s="129">
        <v>62</v>
      </c>
      <c r="C71" s="106" t="s">
        <v>17</v>
      </c>
      <c r="D71" s="124" t="s">
        <v>16</v>
      </c>
      <c r="E71" s="205"/>
      <c r="F71" s="205">
        <v>0.1</v>
      </c>
      <c r="G71" s="205"/>
      <c r="H71" s="205">
        <v>200</v>
      </c>
      <c r="I71" s="205">
        <f>H71*0.03</f>
        <v>6</v>
      </c>
      <c r="J71" s="147">
        <f t="shared" si="20"/>
        <v>0</v>
      </c>
      <c r="K71" s="147">
        <f t="shared" si="21"/>
        <v>20</v>
      </c>
      <c r="L71" s="147">
        <f t="shared" si="22"/>
        <v>0.60000000000000009</v>
      </c>
      <c r="M71" s="147">
        <f t="shared" si="23"/>
        <v>20.6</v>
      </c>
      <c r="N71" s="120"/>
      <c r="O71" s="113"/>
      <c r="P71" s="105">
        <f t="shared" si="0"/>
        <v>20.6</v>
      </c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</row>
    <row r="72" spans="1:89" s="112" customFormat="1">
      <c r="A72" s="162"/>
      <c r="B72" s="129">
        <v>63</v>
      </c>
      <c r="C72" s="106" t="s">
        <v>46</v>
      </c>
      <c r="D72" s="124" t="s">
        <v>47</v>
      </c>
      <c r="E72" s="205"/>
      <c r="F72" s="205">
        <v>2</v>
      </c>
      <c r="G72" s="205"/>
      <c r="H72" s="205">
        <v>3.2</v>
      </c>
      <c r="I72" s="205">
        <f>H72*0.03</f>
        <v>9.6000000000000002E-2</v>
      </c>
      <c r="J72" s="147">
        <f t="shared" si="20"/>
        <v>0</v>
      </c>
      <c r="K72" s="147">
        <f t="shared" si="21"/>
        <v>6.4</v>
      </c>
      <c r="L72" s="147">
        <f t="shared" si="22"/>
        <v>0.192</v>
      </c>
      <c r="M72" s="147">
        <f t="shared" si="23"/>
        <v>6.5920000000000005</v>
      </c>
      <c r="N72" s="120"/>
      <c r="O72" s="113"/>
      <c r="P72" s="105">
        <f t="shared" si="0"/>
        <v>6.5920000000000005</v>
      </c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</row>
    <row r="73" spans="1:89" s="112" customFormat="1">
      <c r="A73" s="162"/>
      <c r="B73" s="129">
        <v>64</v>
      </c>
      <c r="C73" s="106" t="s">
        <v>19</v>
      </c>
      <c r="D73" s="124" t="s">
        <v>13</v>
      </c>
      <c r="E73" s="205"/>
      <c r="F73" s="205">
        <v>0.5</v>
      </c>
      <c r="G73" s="205"/>
      <c r="H73" s="205">
        <v>25.8</v>
      </c>
      <c r="I73" s="205">
        <f>H73*0.03</f>
        <v>0.77400000000000002</v>
      </c>
      <c r="J73" s="147">
        <f t="shared" si="20"/>
        <v>0</v>
      </c>
      <c r="K73" s="147">
        <f t="shared" si="21"/>
        <v>12.9</v>
      </c>
      <c r="L73" s="147">
        <f t="shared" si="22"/>
        <v>0.38700000000000001</v>
      </c>
      <c r="M73" s="147">
        <f t="shared" si="23"/>
        <v>13.287000000000001</v>
      </c>
      <c r="N73" s="120"/>
      <c r="O73" s="113"/>
      <c r="P73" s="105">
        <f t="shared" si="0"/>
        <v>13.287000000000001</v>
      </c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</row>
    <row r="74" spans="1:89" s="140" customFormat="1">
      <c r="A74" s="161"/>
      <c r="B74" s="129">
        <v>65</v>
      </c>
      <c r="C74" s="137" t="s">
        <v>238</v>
      </c>
      <c r="D74" s="137"/>
      <c r="E74" s="206"/>
      <c r="F74" s="206"/>
      <c r="G74" s="206"/>
      <c r="H74" s="206"/>
      <c r="I74" s="206"/>
      <c r="J74" s="147">
        <f t="shared" si="20"/>
        <v>0</v>
      </c>
      <c r="K74" s="147">
        <f t="shared" si="21"/>
        <v>0</v>
      </c>
      <c r="L74" s="147">
        <f t="shared" si="22"/>
        <v>0</v>
      </c>
      <c r="M74" s="147">
        <f t="shared" si="23"/>
        <v>0</v>
      </c>
      <c r="N74" s="138"/>
      <c r="O74" s="139"/>
      <c r="P74" s="189">
        <f>SUM(P10:P73)</f>
        <v>8063.6685056957722</v>
      </c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39"/>
      <c r="CK74" s="139"/>
    </row>
    <row r="75" spans="1:89" ht="24">
      <c r="A75" s="160"/>
      <c r="B75" s="129">
        <v>66</v>
      </c>
      <c r="C75" s="143" t="s">
        <v>257</v>
      </c>
      <c r="D75" s="123"/>
      <c r="E75" s="147"/>
      <c r="F75" s="147"/>
      <c r="G75" s="147"/>
      <c r="H75" s="147"/>
      <c r="I75" s="147"/>
      <c r="J75" s="147">
        <f t="shared" si="20"/>
        <v>0</v>
      </c>
      <c r="K75" s="147">
        <f t="shared" si="21"/>
        <v>0</v>
      </c>
      <c r="L75" s="147">
        <f t="shared" si="22"/>
        <v>0</v>
      </c>
      <c r="M75" s="147">
        <f t="shared" si="23"/>
        <v>0</v>
      </c>
      <c r="N75" s="119"/>
      <c r="CD75" s="104"/>
      <c r="CE75" s="104"/>
      <c r="CF75" s="104"/>
      <c r="CG75" s="104"/>
      <c r="CH75" s="104"/>
      <c r="CI75" s="104"/>
      <c r="CJ75" s="104"/>
      <c r="CK75" s="104"/>
    </row>
    <row r="76" spans="1:89" ht="25.5" customHeight="1">
      <c r="A76" s="160"/>
      <c r="B76" s="129">
        <v>67</v>
      </c>
      <c r="C76" s="111" t="s">
        <v>253</v>
      </c>
      <c r="D76" s="123" t="s">
        <v>6</v>
      </c>
      <c r="E76" s="147"/>
      <c r="F76" s="147">
        <f>E48-F48</f>
        <v>60.33</v>
      </c>
      <c r="G76" s="147">
        <v>1.25</v>
      </c>
      <c r="H76" s="147">
        <v>1.3</v>
      </c>
      <c r="I76" s="147">
        <f>G76*0.1</f>
        <v>0.125</v>
      </c>
      <c r="J76" s="147">
        <f t="shared" si="20"/>
        <v>75.412499999999994</v>
      </c>
      <c r="K76" s="147">
        <f t="shared" si="21"/>
        <v>78.429000000000002</v>
      </c>
      <c r="L76" s="147">
        <f t="shared" si="22"/>
        <v>7.5412499999999998</v>
      </c>
      <c r="M76" s="147">
        <f t="shared" si="23"/>
        <v>161.38274999999999</v>
      </c>
      <c r="N76" s="119"/>
      <c r="CD76" s="104"/>
      <c r="CE76" s="104"/>
      <c r="CF76" s="104"/>
      <c r="CG76" s="104"/>
      <c r="CH76" s="104"/>
      <c r="CI76" s="104"/>
      <c r="CJ76" s="104"/>
      <c r="CK76" s="104"/>
    </row>
    <row r="77" spans="1:89">
      <c r="A77" s="160"/>
      <c r="B77" s="129">
        <v>68</v>
      </c>
      <c r="C77" s="110" t="s">
        <v>15</v>
      </c>
      <c r="D77" s="123" t="s">
        <v>16</v>
      </c>
      <c r="E77" s="147"/>
      <c r="F77" s="147">
        <v>0.3</v>
      </c>
      <c r="G77" s="147">
        <v>55</v>
      </c>
      <c r="H77" s="147">
        <v>4.5199999999999996</v>
      </c>
      <c r="I77" s="147">
        <f>G77*0.1</f>
        <v>5.5</v>
      </c>
      <c r="J77" s="147">
        <f t="shared" si="20"/>
        <v>16.5</v>
      </c>
      <c r="K77" s="147">
        <f t="shared" si="21"/>
        <v>1.3559999999999999</v>
      </c>
      <c r="L77" s="147">
        <f t="shared" si="22"/>
        <v>1.65</v>
      </c>
      <c r="M77" s="147">
        <f t="shared" si="23"/>
        <v>19.506</v>
      </c>
      <c r="N77" s="119"/>
      <c r="CD77" s="104"/>
      <c r="CE77" s="104"/>
      <c r="CF77" s="104"/>
      <c r="CG77" s="104"/>
      <c r="CH77" s="104"/>
      <c r="CI77" s="104"/>
      <c r="CJ77" s="104"/>
      <c r="CK77" s="104"/>
    </row>
    <row r="78" spans="1:89">
      <c r="A78" s="160"/>
      <c r="B78" s="129">
        <v>69</v>
      </c>
      <c r="C78" s="110" t="s">
        <v>18</v>
      </c>
      <c r="D78" s="123" t="s">
        <v>13</v>
      </c>
      <c r="E78" s="147"/>
      <c r="F78" s="147">
        <f>E50-F50</f>
        <v>13.769579999999999</v>
      </c>
      <c r="G78" s="147">
        <v>4.8499999999999996</v>
      </c>
      <c r="H78" s="147"/>
      <c r="I78" s="147">
        <f>G78*0.1</f>
        <v>0.48499999999999999</v>
      </c>
      <c r="J78" s="147">
        <f t="shared" si="20"/>
        <v>66.782462999999993</v>
      </c>
      <c r="K78" s="147">
        <f t="shared" si="21"/>
        <v>0</v>
      </c>
      <c r="L78" s="147">
        <f t="shared" si="22"/>
        <v>6.6782462999999996</v>
      </c>
      <c r="M78" s="147">
        <f t="shared" si="23"/>
        <v>73.460709299999991</v>
      </c>
      <c r="N78" s="119"/>
      <c r="CD78" s="104"/>
      <c r="CE78" s="104"/>
      <c r="CF78" s="104"/>
      <c r="CG78" s="104"/>
      <c r="CH78" s="104"/>
      <c r="CI78" s="104"/>
      <c r="CJ78" s="104"/>
      <c r="CK78" s="104"/>
    </row>
    <row r="79" spans="1:89" s="112" customFormat="1">
      <c r="A79" s="162"/>
      <c r="B79" s="129">
        <v>70</v>
      </c>
      <c r="C79" s="106" t="s">
        <v>27</v>
      </c>
      <c r="D79" s="124" t="s">
        <v>13</v>
      </c>
      <c r="E79" s="205"/>
      <c r="F79" s="205">
        <f>F76*0.04</f>
        <v>2.4131999999999998</v>
      </c>
      <c r="G79" s="205"/>
      <c r="H79" s="205">
        <v>79</v>
      </c>
      <c r="I79" s="205">
        <f>H79*0.03</f>
        <v>2.37</v>
      </c>
      <c r="J79" s="147">
        <f t="shared" si="20"/>
        <v>0</v>
      </c>
      <c r="K79" s="147">
        <f t="shared" si="21"/>
        <v>190.64279999999999</v>
      </c>
      <c r="L79" s="147">
        <f t="shared" si="22"/>
        <v>5.719284</v>
      </c>
      <c r="M79" s="147">
        <f t="shared" si="23"/>
        <v>196.36208399999998</v>
      </c>
      <c r="N79" s="120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</row>
    <row r="80" spans="1:89" s="112" customFormat="1">
      <c r="A80" s="162"/>
      <c r="B80" s="129">
        <v>71</v>
      </c>
      <c r="C80" s="106" t="s">
        <v>17</v>
      </c>
      <c r="D80" s="124" t="s">
        <v>16</v>
      </c>
      <c r="E80" s="205"/>
      <c r="F80" s="205">
        <v>0.3</v>
      </c>
      <c r="G80" s="205"/>
      <c r="H80" s="205">
        <v>200</v>
      </c>
      <c r="I80" s="205">
        <f>H80*0.03</f>
        <v>6</v>
      </c>
      <c r="J80" s="147">
        <f t="shared" si="20"/>
        <v>0</v>
      </c>
      <c r="K80" s="147">
        <f t="shared" si="21"/>
        <v>60</v>
      </c>
      <c r="L80" s="147">
        <f t="shared" si="22"/>
        <v>1.7999999999999998</v>
      </c>
      <c r="M80" s="147">
        <f t="shared" si="23"/>
        <v>61.8</v>
      </c>
      <c r="N80" s="120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</row>
    <row r="81" spans="1:89" s="112" customFormat="1">
      <c r="A81" s="162"/>
      <c r="B81" s="129">
        <v>72</v>
      </c>
      <c r="C81" s="106" t="s">
        <v>46</v>
      </c>
      <c r="D81" s="124" t="s">
        <v>47</v>
      </c>
      <c r="E81" s="205"/>
      <c r="F81" s="205">
        <v>6</v>
      </c>
      <c r="G81" s="205"/>
      <c r="H81" s="205">
        <v>3.2</v>
      </c>
      <c r="I81" s="205">
        <f>H81*0.03</f>
        <v>9.6000000000000002E-2</v>
      </c>
      <c r="J81" s="147">
        <f t="shared" ref="J81:J93" si="24">F81*G81</f>
        <v>0</v>
      </c>
      <c r="K81" s="147">
        <f t="shared" ref="K81:K93" si="25">F81*H81</f>
        <v>19.200000000000003</v>
      </c>
      <c r="L81" s="147">
        <f t="shared" ref="L81:L93" si="26">F81*I81</f>
        <v>0.57600000000000007</v>
      </c>
      <c r="M81" s="147">
        <f t="shared" ref="M81:M93" si="27">J81+K81+L81</f>
        <v>19.776000000000003</v>
      </c>
      <c r="N81" s="120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</row>
    <row r="82" spans="1:89" s="112" customFormat="1">
      <c r="A82" s="162"/>
      <c r="B82" s="129">
        <v>73</v>
      </c>
      <c r="C82" s="106" t="s">
        <v>19</v>
      </c>
      <c r="D82" s="124" t="s">
        <v>13</v>
      </c>
      <c r="E82" s="205"/>
      <c r="F82" s="205">
        <v>13.8</v>
      </c>
      <c r="G82" s="205"/>
      <c r="H82" s="205">
        <v>25.8</v>
      </c>
      <c r="I82" s="205">
        <f>H82*0.03</f>
        <v>0.77400000000000002</v>
      </c>
      <c r="J82" s="147">
        <f t="shared" si="24"/>
        <v>0</v>
      </c>
      <c r="K82" s="147">
        <f t="shared" si="25"/>
        <v>356.04</v>
      </c>
      <c r="L82" s="147">
        <f t="shared" si="26"/>
        <v>10.6812</v>
      </c>
      <c r="M82" s="147">
        <f t="shared" si="27"/>
        <v>366.72120000000001</v>
      </c>
      <c r="N82" s="120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</row>
    <row r="83" spans="1:89">
      <c r="A83" s="160"/>
      <c r="B83" s="129">
        <v>74</v>
      </c>
      <c r="C83" s="134" t="s">
        <v>495</v>
      </c>
      <c r="D83" s="123" t="s">
        <v>273</v>
      </c>
      <c r="E83" s="147"/>
      <c r="F83" s="147">
        <v>9</v>
      </c>
      <c r="G83" s="147">
        <v>0.15</v>
      </c>
      <c r="H83" s="147"/>
      <c r="I83" s="147">
        <f>G83*0.1</f>
        <v>1.4999999999999999E-2</v>
      </c>
      <c r="J83" s="147">
        <f t="shared" si="24"/>
        <v>1.3499999999999999</v>
      </c>
      <c r="K83" s="147">
        <f t="shared" si="25"/>
        <v>0</v>
      </c>
      <c r="L83" s="147">
        <f t="shared" si="26"/>
        <v>0.13500000000000001</v>
      </c>
      <c r="M83" s="147">
        <f t="shared" si="27"/>
        <v>1.4849999999999999</v>
      </c>
      <c r="N83" s="119"/>
      <c r="CD83" s="104"/>
      <c r="CE83" s="104"/>
      <c r="CF83" s="104"/>
      <c r="CG83" s="104"/>
      <c r="CH83" s="104"/>
      <c r="CI83" s="104"/>
      <c r="CJ83" s="104"/>
      <c r="CK83" s="104"/>
    </row>
    <row r="84" spans="1:89" s="112" customFormat="1">
      <c r="A84" s="162"/>
      <c r="B84" s="129">
        <v>75</v>
      </c>
      <c r="C84" s="118" t="s">
        <v>258</v>
      </c>
      <c r="D84" s="124" t="s">
        <v>13</v>
      </c>
      <c r="E84" s="205"/>
      <c r="F84" s="205">
        <v>0.1</v>
      </c>
      <c r="G84" s="205"/>
      <c r="H84" s="205">
        <v>79</v>
      </c>
      <c r="I84" s="205">
        <f>H84*0.03</f>
        <v>2.37</v>
      </c>
      <c r="J84" s="147">
        <f t="shared" si="24"/>
        <v>0</v>
      </c>
      <c r="K84" s="147">
        <f t="shared" si="25"/>
        <v>7.9</v>
      </c>
      <c r="L84" s="147">
        <f t="shared" si="26"/>
        <v>0.23700000000000002</v>
      </c>
      <c r="M84" s="147">
        <f t="shared" si="27"/>
        <v>8.1370000000000005</v>
      </c>
      <c r="N84" s="120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</row>
    <row r="85" spans="1:89" s="112" customFormat="1">
      <c r="A85" s="162"/>
      <c r="B85" s="129">
        <v>76</v>
      </c>
      <c r="C85" s="106" t="s">
        <v>259</v>
      </c>
      <c r="D85" s="124" t="s">
        <v>275</v>
      </c>
      <c r="E85" s="205"/>
      <c r="F85" s="205">
        <v>6</v>
      </c>
      <c r="G85" s="205"/>
      <c r="H85" s="205">
        <v>2.5</v>
      </c>
      <c r="I85" s="205">
        <f>H85*0.03</f>
        <v>7.4999999999999997E-2</v>
      </c>
      <c r="J85" s="147">
        <f t="shared" si="24"/>
        <v>0</v>
      </c>
      <c r="K85" s="147">
        <f t="shared" si="25"/>
        <v>15</v>
      </c>
      <c r="L85" s="147">
        <f t="shared" si="26"/>
        <v>0.44999999999999996</v>
      </c>
      <c r="M85" s="147">
        <f t="shared" si="27"/>
        <v>15.45</v>
      </c>
      <c r="N85" s="120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</row>
    <row r="86" spans="1:89">
      <c r="A86" s="160"/>
      <c r="B86" s="129">
        <v>77</v>
      </c>
      <c r="C86" s="109" t="s">
        <v>23</v>
      </c>
      <c r="D86" s="123" t="s">
        <v>6</v>
      </c>
      <c r="E86" s="147">
        <v>8.5</v>
      </c>
      <c r="F86" s="147">
        <v>8.5</v>
      </c>
      <c r="G86" s="147">
        <v>0.35</v>
      </c>
      <c r="H86" s="147"/>
      <c r="I86" s="147">
        <f>G86*0.1</f>
        <v>3.4999999999999996E-2</v>
      </c>
      <c r="J86" s="147">
        <f t="shared" si="24"/>
        <v>2.9749999999999996</v>
      </c>
      <c r="K86" s="147">
        <f t="shared" si="25"/>
        <v>0</v>
      </c>
      <c r="L86" s="147">
        <f t="shared" si="26"/>
        <v>0.29749999999999999</v>
      </c>
      <c r="M86" s="147">
        <f t="shared" si="27"/>
        <v>3.2724999999999995</v>
      </c>
      <c r="N86" s="119"/>
      <c r="CD86" s="104"/>
      <c r="CE86" s="104"/>
      <c r="CF86" s="104"/>
      <c r="CG86" s="104"/>
      <c r="CH86" s="104"/>
      <c r="CI86" s="104"/>
      <c r="CJ86" s="104"/>
      <c r="CK86" s="104"/>
    </row>
    <row r="87" spans="1:89" s="112" customFormat="1">
      <c r="A87" s="162"/>
      <c r="B87" s="129">
        <v>78</v>
      </c>
      <c r="C87" s="106" t="s">
        <v>26</v>
      </c>
      <c r="D87" s="124" t="s">
        <v>6</v>
      </c>
      <c r="E87" s="205">
        <v>10</v>
      </c>
      <c r="F87" s="205">
        <v>10</v>
      </c>
      <c r="G87" s="205"/>
      <c r="H87" s="205">
        <v>1.1200000000000001</v>
      </c>
      <c r="I87" s="205">
        <f>H87*0.03</f>
        <v>3.3600000000000005E-2</v>
      </c>
      <c r="J87" s="147">
        <f t="shared" si="24"/>
        <v>0</v>
      </c>
      <c r="K87" s="147">
        <f t="shared" si="25"/>
        <v>11.200000000000001</v>
      </c>
      <c r="L87" s="147">
        <f t="shared" si="26"/>
        <v>0.33600000000000008</v>
      </c>
      <c r="M87" s="147">
        <f t="shared" si="27"/>
        <v>11.536000000000001</v>
      </c>
      <c r="N87" s="120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</row>
    <row r="88" spans="1:89">
      <c r="A88" s="160"/>
      <c r="B88" s="129">
        <v>79</v>
      </c>
      <c r="C88" s="101" t="s">
        <v>260</v>
      </c>
      <c r="D88" s="123" t="s">
        <v>83</v>
      </c>
      <c r="E88" s="147"/>
      <c r="F88" s="147">
        <v>2</v>
      </c>
      <c r="G88" s="147">
        <f>F89*155/2</f>
        <v>15.958800000000002</v>
      </c>
      <c r="H88" s="147"/>
      <c r="I88" s="147">
        <f>G88*0.1</f>
        <v>1.5958800000000002</v>
      </c>
      <c r="J88" s="147">
        <f t="shared" si="24"/>
        <v>31.917600000000004</v>
      </c>
      <c r="K88" s="147">
        <f t="shared" si="25"/>
        <v>0</v>
      </c>
      <c r="L88" s="147">
        <f t="shared" si="26"/>
        <v>3.1917600000000004</v>
      </c>
      <c r="M88" s="147">
        <f t="shared" si="27"/>
        <v>35.109360000000002</v>
      </c>
      <c r="N88" s="119"/>
      <c r="CD88" s="104"/>
      <c r="CE88" s="104"/>
      <c r="CF88" s="104"/>
      <c r="CG88" s="104"/>
      <c r="CH88" s="104"/>
      <c r="CI88" s="104"/>
      <c r="CJ88" s="104"/>
      <c r="CK88" s="104"/>
    </row>
    <row r="89" spans="1:89" s="112" customFormat="1">
      <c r="A89" s="162"/>
      <c r="B89" s="129">
        <v>80</v>
      </c>
      <c r="C89" s="106" t="s">
        <v>262</v>
      </c>
      <c r="D89" s="124" t="s">
        <v>16</v>
      </c>
      <c r="E89" s="205"/>
      <c r="F89" s="205">
        <f>0.4*0.006*2.75*4*7.8</f>
        <v>0.20592000000000002</v>
      </c>
      <c r="G89" s="205"/>
      <c r="H89" s="205">
        <v>200</v>
      </c>
      <c r="I89" s="205">
        <f>H89*0.03</f>
        <v>6</v>
      </c>
      <c r="J89" s="147">
        <f t="shared" si="24"/>
        <v>0</v>
      </c>
      <c r="K89" s="147">
        <f t="shared" si="25"/>
        <v>41.184000000000005</v>
      </c>
      <c r="L89" s="147">
        <f t="shared" si="26"/>
        <v>1.2355200000000002</v>
      </c>
      <c r="M89" s="147">
        <f t="shared" si="27"/>
        <v>42.419520000000006</v>
      </c>
      <c r="N89" s="120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</row>
    <row r="90" spans="1:89">
      <c r="A90" s="160"/>
      <c r="B90" s="129">
        <v>81</v>
      </c>
      <c r="C90" s="101" t="s">
        <v>261</v>
      </c>
      <c r="D90" s="123" t="s">
        <v>83</v>
      </c>
      <c r="E90" s="147"/>
      <c r="F90" s="147">
        <v>6</v>
      </c>
      <c r="G90" s="147">
        <v>7.36</v>
      </c>
      <c r="H90" s="147">
        <f>G90*0.125/3</f>
        <v>0.3066666666666667</v>
      </c>
      <c r="I90" s="147">
        <f>G90*0.1</f>
        <v>0.7360000000000001</v>
      </c>
      <c r="J90" s="147">
        <f t="shared" si="24"/>
        <v>44.160000000000004</v>
      </c>
      <c r="K90" s="147">
        <f t="shared" si="25"/>
        <v>1.8400000000000003</v>
      </c>
      <c r="L90" s="147">
        <f t="shared" si="26"/>
        <v>4.4160000000000004</v>
      </c>
      <c r="M90" s="147">
        <f t="shared" si="27"/>
        <v>50.416000000000011</v>
      </c>
      <c r="N90" s="119"/>
      <c r="CD90" s="104"/>
      <c r="CE90" s="104"/>
      <c r="CF90" s="104"/>
      <c r="CG90" s="104"/>
      <c r="CH90" s="104"/>
      <c r="CI90" s="104"/>
      <c r="CJ90" s="104"/>
      <c r="CK90" s="104"/>
    </row>
    <row r="91" spans="1:89" s="112" customFormat="1">
      <c r="A91" s="162"/>
      <c r="B91" s="129">
        <v>82</v>
      </c>
      <c r="C91" s="106" t="s">
        <v>272</v>
      </c>
      <c r="D91" s="124" t="s">
        <v>16</v>
      </c>
      <c r="E91" s="205"/>
      <c r="F91" s="205">
        <f>0.24*0.006*1.5*6*7.8</f>
        <v>0.10108799999999998</v>
      </c>
      <c r="G91" s="205"/>
      <c r="H91" s="205">
        <v>200</v>
      </c>
      <c r="I91" s="205">
        <f>H91*0.03</f>
        <v>6</v>
      </c>
      <c r="J91" s="147">
        <f t="shared" si="24"/>
        <v>0</v>
      </c>
      <c r="K91" s="147">
        <f t="shared" si="25"/>
        <v>20.217599999999997</v>
      </c>
      <c r="L91" s="147">
        <f t="shared" si="26"/>
        <v>0.60652799999999996</v>
      </c>
      <c r="M91" s="147">
        <f t="shared" si="27"/>
        <v>20.824127999999998</v>
      </c>
      <c r="N91" s="120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</row>
    <row r="92" spans="1:89" s="112" customFormat="1">
      <c r="A92" s="162"/>
      <c r="B92" s="129">
        <v>83</v>
      </c>
      <c r="C92" s="106" t="s">
        <v>263</v>
      </c>
      <c r="D92" s="124" t="s">
        <v>16</v>
      </c>
      <c r="E92" s="205"/>
      <c r="F92" s="205">
        <f>((F91/1.5)*2)/3</f>
        <v>4.4927999999999996E-2</v>
      </c>
      <c r="G92" s="205"/>
      <c r="H92" s="205">
        <v>200</v>
      </c>
      <c r="I92" s="205">
        <f>H92*0.03</f>
        <v>6</v>
      </c>
      <c r="J92" s="147">
        <f t="shared" si="24"/>
        <v>0</v>
      </c>
      <c r="K92" s="147">
        <f t="shared" si="25"/>
        <v>8.9855999999999998</v>
      </c>
      <c r="L92" s="147">
        <f t="shared" si="26"/>
        <v>0.26956799999999997</v>
      </c>
      <c r="M92" s="147">
        <f t="shared" si="27"/>
        <v>9.2551679999999994</v>
      </c>
      <c r="N92" s="120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</row>
    <row r="93" spans="1:89" s="112" customFormat="1">
      <c r="A93" s="162"/>
      <c r="B93" s="129">
        <v>84</v>
      </c>
      <c r="C93" s="106" t="s">
        <v>264</v>
      </c>
      <c r="D93" s="124" t="s">
        <v>16</v>
      </c>
      <c r="E93" s="205"/>
      <c r="F93" s="205">
        <f>0.4*0.006*3.5*2*7.8*2.5</f>
        <v>0.32760000000000006</v>
      </c>
      <c r="G93" s="205"/>
      <c r="H93" s="205">
        <v>200</v>
      </c>
      <c r="I93" s="205">
        <f>H93*0.03</f>
        <v>6</v>
      </c>
      <c r="J93" s="147">
        <f t="shared" si="24"/>
        <v>0</v>
      </c>
      <c r="K93" s="147">
        <f t="shared" si="25"/>
        <v>65.52000000000001</v>
      </c>
      <c r="L93" s="147">
        <f t="shared" si="26"/>
        <v>1.9656000000000002</v>
      </c>
      <c r="M93" s="147">
        <f t="shared" si="27"/>
        <v>67.485600000000005</v>
      </c>
      <c r="N93" s="120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</row>
    <row r="94" spans="1:89" s="112" customFormat="1">
      <c r="A94" s="162"/>
      <c r="B94" s="129">
        <v>85</v>
      </c>
      <c r="C94" s="106" t="s">
        <v>265</v>
      </c>
      <c r="D94" s="124" t="s">
        <v>16</v>
      </c>
      <c r="E94" s="205"/>
      <c r="F94" s="205">
        <f>0.48*0.006*3.5*2*7.8*2</f>
        <v>0.31449599999999994</v>
      </c>
      <c r="G94" s="205"/>
      <c r="H94" s="205">
        <v>200</v>
      </c>
      <c r="I94" s="205">
        <f>H94*0.03</f>
        <v>6</v>
      </c>
      <c r="J94" s="147">
        <f t="shared" ref="J94:J116" si="28">F94*G94</f>
        <v>0</v>
      </c>
      <c r="K94" s="147">
        <f t="shared" ref="K94:K116" si="29">F94*H94</f>
        <v>62.899199999999986</v>
      </c>
      <c r="L94" s="147">
        <f t="shared" ref="L94:L116" si="30">F94*I94</f>
        <v>1.8869759999999998</v>
      </c>
      <c r="M94" s="147">
        <f t="shared" ref="M94:M116" si="31">J94+K94+L94</f>
        <v>64.786175999999983</v>
      </c>
      <c r="N94" s="120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</row>
    <row r="95" spans="1:89" ht="25.5" customHeight="1">
      <c r="A95" s="160"/>
      <c r="B95" s="129">
        <v>86</v>
      </c>
      <c r="C95" s="143" t="s">
        <v>345</v>
      </c>
      <c r="D95" s="123" t="s">
        <v>6</v>
      </c>
      <c r="E95" s="147">
        <v>41</v>
      </c>
      <c r="F95" s="147">
        <v>41</v>
      </c>
      <c r="G95" s="147">
        <v>0.8</v>
      </c>
      <c r="H95" s="147"/>
      <c r="I95" s="147">
        <f>G95*0.1</f>
        <v>8.0000000000000016E-2</v>
      </c>
      <c r="J95" s="147">
        <f t="shared" si="28"/>
        <v>32.800000000000004</v>
      </c>
      <c r="K95" s="147">
        <f t="shared" si="29"/>
        <v>0</v>
      </c>
      <c r="L95" s="147">
        <f t="shared" si="30"/>
        <v>3.2800000000000007</v>
      </c>
      <c r="M95" s="147">
        <f t="shared" si="31"/>
        <v>36.080000000000005</v>
      </c>
      <c r="N95" s="119"/>
      <c r="CD95" s="104"/>
      <c r="CE95" s="104"/>
      <c r="CF95" s="104"/>
      <c r="CG95" s="104"/>
      <c r="CH95" s="104"/>
      <c r="CI95" s="104"/>
      <c r="CJ95" s="104"/>
      <c r="CK95" s="104"/>
    </row>
    <row r="96" spans="1:89" s="112" customFormat="1">
      <c r="A96" s="162"/>
      <c r="B96" s="129">
        <v>87</v>
      </c>
      <c r="C96" s="106" t="s">
        <v>49</v>
      </c>
      <c r="D96" s="124" t="s">
        <v>47</v>
      </c>
      <c r="E96" s="205">
        <v>20</v>
      </c>
      <c r="F96" s="205">
        <v>20</v>
      </c>
      <c r="G96" s="205"/>
      <c r="H96" s="205">
        <v>0.33</v>
      </c>
      <c r="I96" s="205">
        <f>H96*0.03</f>
        <v>9.9000000000000008E-3</v>
      </c>
      <c r="J96" s="147">
        <f t="shared" si="28"/>
        <v>0</v>
      </c>
      <c r="K96" s="147">
        <f t="shared" si="29"/>
        <v>6.6000000000000005</v>
      </c>
      <c r="L96" s="147">
        <f t="shared" si="30"/>
        <v>0.19800000000000001</v>
      </c>
      <c r="M96" s="147">
        <f t="shared" si="31"/>
        <v>6.7980000000000009</v>
      </c>
      <c r="N96" s="120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</row>
    <row r="97" spans="1:89" s="140" customFormat="1">
      <c r="A97" s="161"/>
      <c r="B97" s="129">
        <v>88</v>
      </c>
      <c r="C97" s="141" t="s">
        <v>239</v>
      </c>
      <c r="D97" s="137" t="s">
        <v>6</v>
      </c>
      <c r="E97" s="206"/>
      <c r="F97" s="206">
        <f>F98+F106</f>
        <v>18.574000000000002</v>
      </c>
      <c r="G97" s="206"/>
      <c r="H97" s="206"/>
      <c r="I97" s="206"/>
      <c r="J97" s="147">
        <f t="shared" si="28"/>
        <v>0</v>
      </c>
      <c r="K97" s="147">
        <f t="shared" si="29"/>
        <v>0</v>
      </c>
      <c r="L97" s="147">
        <f t="shared" si="30"/>
        <v>0</v>
      </c>
      <c r="M97" s="147">
        <f t="shared" si="31"/>
        <v>0</v>
      </c>
      <c r="N97" s="138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  <c r="BI97" s="139"/>
      <c r="BJ97" s="139"/>
      <c r="BK97" s="139"/>
      <c r="BL97" s="139"/>
      <c r="BM97" s="139"/>
      <c r="BN97" s="139"/>
      <c r="BO97" s="139"/>
      <c r="BP97" s="139"/>
      <c r="BQ97" s="139"/>
      <c r="BR97" s="139"/>
      <c r="BS97" s="139"/>
      <c r="BT97" s="139"/>
      <c r="BU97" s="139"/>
      <c r="BV97" s="139"/>
      <c r="BW97" s="139"/>
      <c r="BX97" s="139"/>
      <c r="BY97" s="139"/>
      <c r="BZ97" s="139"/>
      <c r="CA97" s="139"/>
      <c r="CB97" s="139"/>
      <c r="CC97" s="139"/>
      <c r="CD97" s="139"/>
      <c r="CE97" s="139"/>
      <c r="CF97" s="139"/>
      <c r="CG97" s="139"/>
      <c r="CH97" s="139"/>
      <c r="CI97" s="139"/>
      <c r="CJ97" s="139"/>
      <c r="CK97" s="139"/>
    </row>
    <row r="98" spans="1:89" s="101" customFormat="1" ht="24">
      <c r="A98" s="160"/>
      <c r="B98" s="129">
        <v>89</v>
      </c>
      <c r="C98" s="125" t="s">
        <v>266</v>
      </c>
      <c r="D98" s="123" t="s">
        <v>6</v>
      </c>
      <c r="E98" s="147"/>
      <c r="F98" s="147">
        <f>1.498*3</f>
        <v>4.4939999999999998</v>
      </c>
      <c r="G98" s="147"/>
      <c r="H98" s="147"/>
      <c r="I98" s="147"/>
      <c r="J98" s="147">
        <f t="shared" si="28"/>
        <v>0</v>
      </c>
      <c r="K98" s="147">
        <f t="shared" si="29"/>
        <v>0</v>
      </c>
      <c r="L98" s="147">
        <f t="shared" si="30"/>
        <v>0</v>
      </c>
      <c r="M98" s="147">
        <f t="shared" si="31"/>
        <v>0</v>
      </c>
      <c r="N98" s="119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</row>
    <row r="99" spans="1:89" s="101" customFormat="1" ht="24">
      <c r="A99" s="160"/>
      <c r="B99" s="129">
        <v>90</v>
      </c>
      <c r="C99" s="111" t="s">
        <v>269</v>
      </c>
      <c r="D99" s="123" t="s">
        <v>6</v>
      </c>
      <c r="E99" s="147"/>
      <c r="F99" s="147">
        <v>4.5</v>
      </c>
      <c r="G99" s="147">
        <v>1.65</v>
      </c>
      <c r="H99" s="147">
        <v>2.5000000000000001E-2</v>
      </c>
      <c r="I99" s="147">
        <f>G99*0.1</f>
        <v>0.16500000000000001</v>
      </c>
      <c r="J99" s="147">
        <f t="shared" si="28"/>
        <v>7.4249999999999998</v>
      </c>
      <c r="K99" s="147">
        <f t="shared" si="29"/>
        <v>0.1125</v>
      </c>
      <c r="L99" s="147">
        <f t="shared" si="30"/>
        <v>0.74250000000000005</v>
      </c>
      <c r="M99" s="147">
        <f t="shared" si="31"/>
        <v>8.2799999999999994</v>
      </c>
      <c r="N99" s="119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</row>
    <row r="100" spans="1:89" s="101" customFormat="1">
      <c r="A100" s="160"/>
      <c r="B100" s="129">
        <v>91</v>
      </c>
      <c r="C100" s="111" t="s">
        <v>267</v>
      </c>
      <c r="D100" s="123" t="s">
        <v>6</v>
      </c>
      <c r="E100" s="147"/>
      <c r="F100" s="147">
        <v>4.5</v>
      </c>
      <c r="G100" s="147">
        <v>1.25</v>
      </c>
      <c r="H100" s="147">
        <v>1.3</v>
      </c>
      <c r="I100" s="147">
        <f>G100*0.1</f>
        <v>0.125</v>
      </c>
      <c r="J100" s="147">
        <f t="shared" si="28"/>
        <v>5.625</v>
      </c>
      <c r="K100" s="147">
        <f t="shared" si="29"/>
        <v>5.8500000000000005</v>
      </c>
      <c r="L100" s="147">
        <f t="shared" si="30"/>
        <v>0.5625</v>
      </c>
      <c r="M100" s="147">
        <f t="shared" si="31"/>
        <v>12.037500000000001</v>
      </c>
      <c r="N100" s="119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</row>
    <row r="101" spans="1:89" s="101" customFormat="1">
      <c r="A101" s="160"/>
      <c r="B101" s="129">
        <v>92</v>
      </c>
      <c r="C101" s="111" t="s">
        <v>15</v>
      </c>
      <c r="D101" s="123" t="s">
        <v>6</v>
      </c>
      <c r="E101" s="147"/>
      <c r="F101" s="147">
        <v>4.5</v>
      </c>
      <c r="G101" s="147">
        <f>F104*55/F99</f>
        <v>1.2222222222222223</v>
      </c>
      <c r="H101" s="147">
        <v>4.5199999999999996</v>
      </c>
      <c r="I101" s="147">
        <f>G101*0.1</f>
        <v>0.12222222222222223</v>
      </c>
      <c r="J101" s="147">
        <f t="shared" si="28"/>
        <v>5.5</v>
      </c>
      <c r="K101" s="147">
        <f t="shared" si="29"/>
        <v>20.339999999999996</v>
      </c>
      <c r="L101" s="147">
        <f t="shared" si="30"/>
        <v>0.55000000000000004</v>
      </c>
      <c r="M101" s="147">
        <f t="shared" si="31"/>
        <v>26.389999999999997</v>
      </c>
      <c r="N101" s="119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</row>
    <row r="102" spans="1:89" s="101" customFormat="1">
      <c r="A102" s="160"/>
      <c r="B102" s="129">
        <v>93</v>
      </c>
      <c r="C102" s="110" t="s">
        <v>18</v>
      </c>
      <c r="D102" s="123" t="s">
        <v>6</v>
      </c>
      <c r="E102" s="147"/>
      <c r="F102" s="147">
        <f>F100</f>
        <v>4.5</v>
      </c>
      <c r="G102" s="147">
        <v>0.51</v>
      </c>
      <c r="H102" s="147"/>
      <c r="I102" s="147">
        <f>G102*0.1</f>
        <v>5.1000000000000004E-2</v>
      </c>
      <c r="J102" s="147">
        <f t="shared" si="28"/>
        <v>2.2949999999999999</v>
      </c>
      <c r="K102" s="147">
        <f t="shared" si="29"/>
        <v>0</v>
      </c>
      <c r="L102" s="147">
        <f t="shared" si="30"/>
        <v>0.22950000000000001</v>
      </c>
      <c r="M102" s="147">
        <f t="shared" si="31"/>
        <v>2.5244999999999997</v>
      </c>
      <c r="N102" s="119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</row>
    <row r="103" spans="1:89" s="116" customFormat="1">
      <c r="A103" s="162"/>
      <c r="B103" s="129">
        <v>94</v>
      </c>
      <c r="C103" s="118" t="s">
        <v>27</v>
      </c>
      <c r="D103" s="124" t="s">
        <v>13</v>
      </c>
      <c r="E103" s="205"/>
      <c r="F103" s="205">
        <f>4.5*0.03</f>
        <v>0.13500000000000001</v>
      </c>
      <c r="G103" s="205"/>
      <c r="H103" s="205">
        <v>79</v>
      </c>
      <c r="I103" s="205">
        <f>H103*0.03</f>
        <v>2.37</v>
      </c>
      <c r="J103" s="147">
        <f t="shared" si="28"/>
        <v>0</v>
      </c>
      <c r="K103" s="147">
        <f t="shared" si="29"/>
        <v>10.665000000000001</v>
      </c>
      <c r="L103" s="147">
        <f t="shared" si="30"/>
        <v>0.31995000000000001</v>
      </c>
      <c r="M103" s="147">
        <f t="shared" si="31"/>
        <v>10.984950000000001</v>
      </c>
      <c r="N103" s="120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</row>
    <row r="104" spans="1:89" s="116" customFormat="1">
      <c r="A104" s="162"/>
      <c r="B104" s="129">
        <v>95</v>
      </c>
      <c r="C104" s="118" t="s">
        <v>17</v>
      </c>
      <c r="D104" s="124" t="s">
        <v>16</v>
      </c>
      <c r="E104" s="205"/>
      <c r="F104" s="205">
        <v>0.1</v>
      </c>
      <c r="G104" s="205"/>
      <c r="H104" s="205">
        <v>185</v>
      </c>
      <c r="I104" s="205">
        <f>H104*0.03</f>
        <v>5.55</v>
      </c>
      <c r="J104" s="147">
        <f t="shared" si="28"/>
        <v>0</v>
      </c>
      <c r="K104" s="147">
        <f t="shared" si="29"/>
        <v>18.5</v>
      </c>
      <c r="L104" s="147">
        <f t="shared" si="30"/>
        <v>0.55500000000000005</v>
      </c>
      <c r="M104" s="147">
        <f t="shared" si="31"/>
        <v>19.055</v>
      </c>
      <c r="N104" s="120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</row>
    <row r="105" spans="1:89" s="116" customFormat="1">
      <c r="A105" s="162"/>
      <c r="B105" s="129">
        <v>96</v>
      </c>
      <c r="C105" s="118" t="s">
        <v>19</v>
      </c>
      <c r="D105" s="124" t="s">
        <v>13</v>
      </c>
      <c r="E105" s="205"/>
      <c r="F105" s="205">
        <f>F99*0.1*1.05</f>
        <v>0.47250000000000003</v>
      </c>
      <c r="G105" s="205"/>
      <c r="H105" s="205">
        <v>25.8</v>
      </c>
      <c r="I105" s="205">
        <f>H105*0.03</f>
        <v>0.77400000000000002</v>
      </c>
      <c r="J105" s="147">
        <f t="shared" si="28"/>
        <v>0</v>
      </c>
      <c r="K105" s="147">
        <f t="shared" si="29"/>
        <v>12.190500000000002</v>
      </c>
      <c r="L105" s="147">
        <f t="shared" si="30"/>
        <v>0.36571500000000001</v>
      </c>
      <c r="M105" s="147">
        <f t="shared" si="31"/>
        <v>12.556215000000002</v>
      </c>
      <c r="N105" s="120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</row>
    <row r="106" spans="1:89">
      <c r="A106" s="160"/>
      <c r="B106" s="129">
        <v>97</v>
      </c>
      <c r="C106" s="101" t="s">
        <v>30</v>
      </c>
      <c r="D106" s="123" t="s">
        <v>6</v>
      </c>
      <c r="E106" s="147">
        <v>13.2</v>
      </c>
      <c r="F106" s="147">
        <f>4.4*3.2</f>
        <v>14.080000000000002</v>
      </c>
      <c r="G106" s="147">
        <v>3.2</v>
      </c>
      <c r="H106" s="147"/>
      <c r="I106" s="147">
        <f>G106*0.1</f>
        <v>0.32000000000000006</v>
      </c>
      <c r="J106" s="147">
        <f t="shared" si="28"/>
        <v>45.056000000000012</v>
      </c>
      <c r="K106" s="147">
        <f t="shared" si="29"/>
        <v>0</v>
      </c>
      <c r="L106" s="147">
        <f t="shared" si="30"/>
        <v>4.5056000000000012</v>
      </c>
      <c r="M106" s="147">
        <f t="shared" si="31"/>
        <v>49.561600000000013</v>
      </c>
      <c r="N106" s="119"/>
      <c r="CD106" s="104"/>
      <c r="CE106" s="104"/>
      <c r="CF106" s="104"/>
      <c r="CG106" s="104"/>
      <c r="CH106" s="104"/>
      <c r="CI106" s="104"/>
      <c r="CJ106" s="104"/>
      <c r="CK106" s="104"/>
    </row>
    <row r="107" spans="1:89" s="101" customFormat="1">
      <c r="A107" s="160"/>
      <c r="B107" s="129">
        <v>98</v>
      </c>
      <c r="C107" s="111" t="s">
        <v>268</v>
      </c>
      <c r="D107" s="123" t="s">
        <v>83</v>
      </c>
      <c r="E107" s="147"/>
      <c r="F107" s="147">
        <v>7</v>
      </c>
      <c r="G107" s="147">
        <v>5.64</v>
      </c>
      <c r="H107" s="147">
        <v>0.85</v>
      </c>
      <c r="I107" s="147">
        <f>G107*0.1</f>
        <v>0.56399999999999995</v>
      </c>
      <c r="J107" s="147">
        <f t="shared" si="28"/>
        <v>39.479999999999997</v>
      </c>
      <c r="K107" s="147">
        <f t="shared" si="29"/>
        <v>5.95</v>
      </c>
      <c r="L107" s="147">
        <f t="shared" si="30"/>
        <v>3.9479999999999995</v>
      </c>
      <c r="M107" s="147">
        <f t="shared" si="31"/>
        <v>49.378</v>
      </c>
      <c r="N107" s="119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  <c r="BU107" s="104"/>
      <c r="BV107" s="104"/>
      <c r="BW107" s="104"/>
      <c r="BX107" s="104"/>
      <c r="BY107" s="104"/>
      <c r="BZ107" s="104"/>
      <c r="CA107" s="104"/>
      <c r="CB107" s="104"/>
      <c r="CC107" s="104"/>
      <c r="CD107" s="104"/>
      <c r="CE107" s="104"/>
      <c r="CF107" s="104"/>
      <c r="CG107" s="104"/>
      <c r="CH107" s="104"/>
      <c r="CI107" s="104"/>
      <c r="CJ107" s="104"/>
      <c r="CK107" s="104"/>
    </row>
    <row r="108" spans="1:89" s="101" customFormat="1">
      <c r="A108" s="160"/>
      <c r="B108" s="129">
        <v>99</v>
      </c>
      <c r="C108" s="110" t="s">
        <v>270</v>
      </c>
      <c r="D108" s="123" t="s">
        <v>6</v>
      </c>
      <c r="E108" s="147"/>
      <c r="F108" s="147">
        <v>14.1</v>
      </c>
      <c r="G108" s="147">
        <v>1.25</v>
      </c>
      <c r="H108" s="147">
        <v>1.3</v>
      </c>
      <c r="I108" s="147">
        <f>G108*0.1</f>
        <v>0.125</v>
      </c>
      <c r="J108" s="147">
        <f t="shared" si="28"/>
        <v>17.625</v>
      </c>
      <c r="K108" s="147">
        <f t="shared" si="29"/>
        <v>18.330000000000002</v>
      </c>
      <c r="L108" s="147">
        <f t="shared" si="30"/>
        <v>1.7625</v>
      </c>
      <c r="M108" s="147">
        <f t="shared" si="31"/>
        <v>37.717500000000001</v>
      </c>
      <c r="N108" s="119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</row>
    <row r="109" spans="1:89" s="101" customFormat="1" ht="14.25" customHeight="1">
      <c r="A109" s="160"/>
      <c r="B109" s="129">
        <v>100</v>
      </c>
      <c r="C109" s="110" t="s">
        <v>271</v>
      </c>
      <c r="D109" s="123" t="s">
        <v>6</v>
      </c>
      <c r="E109" s="147"/>
      <c r="F109" s="147">
        <v>14.1</v>
      </c>
      <c r="G109" s="147">
        <v>1.22</v>
      </c>
      <c r="H109" s="147">
        <v>4.5199999999999996</v>
      </c>
      <c r="I109" s="147">
        <f>G109*0.1</f>
        <v>0.122</v>
      </c>
      <c r="J109" s="147">
        <f t="shared" si="28"/>
        <v>17.201999999999998</v>
      </c>
      <c r="K109" s="147">
        <f t="shared" si="29"/>
        <v>63.731999999999992</v>
      </c>
      <c r="L109" s="147">
        <f t="shared" si="30"/>
        <v>1.7202</v>
      </c>
      <c r="M109" s="147">
        <f t="shared" si="31"/>
        <v>82.654200000000003</v>
      </c>
      <c r="N109" s="119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</row>
    <row r="110" spans="1:89" s="101" customFormat="1">
      <c r="A110" s="160"/>
      <c r="B110" s="129">
        <v>101</v>
      </c>
      <c r="C110" s="110" t="s">
        <v>18</v>
      </c>
      <c r="D110" s="123" t="s">
        <v>6</v>
      </c>
      <c r="E110" s="147"/>
      <c r="F110" s="147">
        <f>F108</f>
        <v>14.1</v>
      </c>
      <c r="G110" s="147">
        <f>4.85*F115/14.1</f>
        <v>0.50925000000000009</v>
      </c>
      <c r="H110" s="147"/>
      <c r="I110" s="147">
        <f>G110*0.1</f>
        <v>5.0925000000000012E-2</v>
      </c>
      <c r="J110" s="147">
        <f t="shared" si="28"/>
        <v>7.1804250000000014</v>
      </c>
      <c r="K110" s="147">
        <f t="shared" si="29"/>
        <v>0</v>
      </c>
      <c r="L110" s="147">
        <f t="shared" si="30"/>
        <v>0.71804250000000014</v>
      </c>
      <c r="M110" s="147">
        <f t="shared" si="31"/>
        <v>7.8984675000000015</v>
      </c>
      <c r="N110" s="119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</row>
    <row r="111" spans="1:89" s="116" customFormat="1">
      <c r="A111" s="162"/>
      <c r="B111" s="129">
        <v>102</v>
      </c>
      <c r="C111" s="106" t="s">
        <v>276</v>
      </c>
      <c r="D111" s="124" t="s">
        <v>16</v>
      </c>
      <c r="E111" s="205"/>
      <c r="F111" s="205">
        <v>0.28999999999999998</v>
      </c>
      <c r="G111" s="205"/>
      <c r="H111" s="205">
        <v>200</v>
      </c>
      <c r="I111" s="205">
        <f>H111*0.03</f>
        <v>6</v>
      </c>
      <c r="J111" s="147">
        <f t="shared" si="28"/>
        <v>0</v>
      </c>
      <c r="K111" s="147">
        <f t="shared" si="29"/>
        <v>57.999999999999993</v>
      </c>
      <c r="L111" s="147">
        <f t="shared" si="30"/>
        <v>1.7399999999999998</v>
      </c>
      <c r="M111" s="147">
        <f t="shared" si="31"/>
        <v>59.739999999999995</v>
      </c>
      <c r="N111" s="120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</row>
    <row r="112" spans="1:89" s="112" customFormat="1">
      <c r="A112" s="162"/>
      <c r="B112" s="129">
        <v>103</v>
      </c>
      <c r="C112" s="106" t="s">
        <v>27</v>
      </c>
      <c r="D112" s="124" t="s">
        <v>13</v>
      </c>
      <c r="E112" s="205">
        <v>0.5</v>
      </c>
      <c r="F112" s="205">
        <f>F108*0.03</f>
        <v>0.42299999999999999</v>
      </c>
      <c r="G112" s="205"/>
      <c r="H112" s="205">
        <v>79</v>
      </c>
      <c r="I112" s="205">
        <f>H112*0.03</f>
        <v>2.37</v>
      </c>
      <c r="J112" s="147">
        <f t="shared" si="28"/>
        <v>0</v>
      </c>
      <c r="K112" s="147">
        <f t="shared" si="29"/>
        <v>33.417000000000002</v>
      </c>
      <c r="L112" s="147">
        <f t="shared" si="30"/>
        <v>1.00251</v>
      </c>
      <c r="M112" s="147">
        <f t="shared" si="31"/>
        <v>34.419510000000002</v>
      </c>
      <c r="N112" s="121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</row>
    <row r="113" spans="1:89" s="112" customFormat="1">
      <c r="A113" s="162"/>
      <c r="B113" s="129">
        <v>104</v>
      </c>
      <c r="C113" s="106" t="s">
        <v>17</v>
      </c>
      <c r="D113" s="124" t="s">
        <v>16</v>
      </c>
      <c r="E113" s="205"/>
      <c r="F113" s="205">
        <v>0.1</v>
      </c>
      <c r="G113" s="205"/>
      <c r="H113" s="205">
        <v>200</v>
      </c>
      <c r="I113" s="205">
        <f>H113*0.03</f>
        <v>6</v>
      </c>
      <c r="J113" s="147">
        <f t="shared" si="28"/>
        <v>0</v>
      </c>
      <c r="K113" s="147">
        <f t="shared" si="29"/>
        <v>20</v>
      </c>
      <c r="L113" s="147">
        <f t="shared" si="30"/>
        <v>0.60000000000000009</v>
      </c>
      <c r="M113" s="147">
        <f t="shared" si="31"/>
        <v>20.6</v>
      </c>
      <c r="N113" s="120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113"/>
      <c r="CH113" s="113"/>
      <c r="CI113" s="113"/>
      <c r="CJ113" s="113"/>
      <c r="CK113" s="113"/>
    </row>
    <row r="114" spans="1:89" s="112" customFormat="1">
      <c r="A114" s="162"/>
      <c r="B114" s="129">
        <v>105</v>
      </c>
      <c r="C114" s="106" t="s">
        <v>46</v>
      </c>
      <c r="D114" s="124" t="s">
        <v>47</v>
      </c>
      <c r="E114" s="205"/>
      <c r="F114" s="205">
        <v>2</v>
      </c>
      <c r="G114" s="205"/>
      <c r="H114" s="205">
        <v>3.2</v>
      </c>
      <c r="I114" s="205">
        <f>H114*0.03</f>
        <v>9.6000000000000002E-2</v>
      </c>
      <c r="J114" s="147">
        <f t="shared" si="28"/>
        <v>0</v>
      </c>
      <c r="K114" s="147">
        <f t="shared" si="29"/>
        <v>6.4</v>
      </c>
      <c r="L114" s="147">
        <f t="shared" si="30"/>
        <v>0.192</v>
      </c>
      <c r="M114" s="147">
        <f t="shared" si="31"/>
        <v>6.5920000000000005</v>
      </c>
      <c r="N114" s="120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</row>
    <row r="115" spans="1:89" s="112" customFormat="1">
      <c r="A115" s="162"/>
      <c r="B115" s="129">
        <v>106</v>
      </c>
      <c r="C115" s="106" t="s">
        <v>19</v>
      </c>
      <c r="D115" s="124" t="s">
        <v>13</v>
      </c>
      <c r="E115" s="205"/>
      <c r="F115" s="205">
        <f>F110*0.1*1.05</f>
        <v>1.4805000000000001</v>
      </c>
      <c r="G115" s="205"/>
      <c r="H115" s="205">
        <v>25.8</v>
      </c>
      <c r="I115" s="205">
        <f>H115*0.03</f>
        <v>0.77400000000000002</v>
      </c>
      <c r="J115" s="147">
        <f t="shared" si="28"/>
        <v>0</v>
      </c>
      <c r="K115" s="147">
        <f t="shared" si="29"/>
        <v>38.196900000000007</v>
      </c>
      <c r="L115" s="147">
        <f t="shared" si="30"/>
        <v>1.1459070000000002</v>
      </c>
      <c r="M115" s="147">
        <f t="shared" si="31"/>
        <v>39.342807000000008</v>
      </c>
      <c r="N115" s="120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</row>
    <row r="116" spans="1:89">
      <c r="A116" s="160"/>
      <c r="B116" s="129">
        <v>107</v>
      </c>
      <c r="C116" s="101"/>
      <c r="D116" s="123"/>
      <c r="E116" s="204"/>
      <c r="F116" s="147"/>
      <c r="G116" s="147"/>
      <c r="H116" s="147"/>
      <c r="I116" s="147"/>
      <c r="J116" s="147">
        <f t="shared" si="28"/>
        <v>0</v>
      </c>
      <c r="K116" s="147">
        <f t="shared" si="29"/>
        <v>0</v>
      </c>
      <c r="L116" s="147">
        <f t="shared" si="30"/>
        <v>0</v>
      </c>
      <c r="M116" s="147">
        <f t="shared" si="31"/>
        <v>0</v>
      </c>
      <c r="N116" s="150"/>
      <c r="CD116" s="104"/>
      <c r="CE116" s="104"/>
      <c r="CF116" s="104"/>
      <c r="CG116" s="104"/>
      <c r="CH116" s="104"/>
      <c r="CI116" s="104"/>
      <c r="CJ116" s="104"/>
      <c r="CK116" s="104"/>
    </row>
    <row r="117" spans="1:89" s="114" customFormat="1" ht="24">
      <c r="A117" s="159"/>
      <c r="B117" s="129">
        <v>108</v>
      </c>
      <c r="C117" s="142" t="s">
        <v>355</v>
      </c>
      <c r="D117" s="122" t="s">
        <v>6</v>
      </c>
      <c r="E117" s="207"/>
      <c r="F117" s="208">
        <v>119.7</v>
      </c>
      <c r="G117" s="208"/>
      <c r="H117" s="208"/>
      <c r="I117" s="208"/>
      <c r="J117" s="147">
        <f t="shared" ref="J117:J136" si="32">F117*G117</f>
        <v>0</v>
      </c>
      <c r="K117" s="147">
        <f t="shared" ref="K117:K136" si="33">F117*H117</f>
        <v>0</v>
      </c>
      <c r="L117" s="147">
        <f t="shared" ref="L117:L136" si="34">F117*I117</f>
        <v>0</v>
      </c>
      <c r="M117" s="147">
        <f t="shared" ref="M117:M136" si="35">J117+K117+L117</f>
        <v>0</v>
      </c>
      <c r="N117" s="133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108"/>
      <c r="BR117" s="108"/>
      <c r="BS117" s="108"/>
      <c r="BT117" s="108"/>
      <c r="BU117" s="108"/>
      <c r="BV117" s="108"/>
      <c r="BW117" s="108"/>
      <c r="BX117" s="108"/>
      <c r="BY117" s="108"/>
      <c r="BZ117" s="108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</row>
    <row r="118" spans="1:89" s="135" customFormat="1">
      <c r="A118" s="161"/>
      <c r="B118" s="129">
        <v>109</v>
      </c>
      <c r="C118" s="136" t="s">
        <v>238</v>
      </c>
      <c r="D118" s="137" t="s">
        <v>6</v>
      </c>
      <c r="E118" s="209"/>
      <c r="F118" s="206">
        <f>(3.6+6.5+4.4*3)*3.3</f>
        <v>76.89</v>
      </c>
      <c r="G118" s="206"/>
      <c r="H118" s="206"/>
      <c r="I118" s="206"/>
      <c r="J118" s="147">
        <f t="shared" si="32"/>
        <v>0</v>
      </c>
      <c r="K118" s="147">
        <f t="shared" si="33"/>
        <v>0</v>
      </c>
      <c r="L118" s="147">
        <f t="shared" si="34"/>
        <v>0</v>
      </c>
      <c r="M118" s="147">
        <f t="shared" si="35"/>
        <v>0</v>
      </c>
      <c r="N118" s="176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39"/>
      <c r="BK118" s="139"/>
      <c r="BL118" s="139"/>
      <c r="BM118" s="139"/>
      <c r="BN118" s="139"/>
      <c r="BO118" s="139"/>
      <c r="BP118" s="139"/>
      <c r="BQ118" s="139"/>
      <c r="BR118" s="139"/>
      <c r="BS118" s="139"/>
      <c r="BT118" s="139"/>
      <c r="BU118" s="139"/>
      <c r="BV118" s="139"/>
      <c r="BW118" s="139"/>
      <c r="BX118" s="139"/>
      <c r="BY118" s="139"/>
      <c r="BZ118" s="139"/>
      <c r="CA118" s="139"/>
      <c r="CB118" s="139"/>
      <c r="CC118" s="139"/>
      <c r="CD118" s="139"/>
      <c r="CE118" s="139"/>
      <c r="CF118" s="139"/>
      <c r="CG118" s="139"/>
      <c r="CH118" s="139"/>
      <c r="CI118" s="139"/>
      <c r="CJ118" s="139"/>
      <c r="CK118" s="139"/>
    </row>
    <row r="119" spans="1:89" s="101" customFormat="1">
      <c r="A119" s="160"/>
      <c r="B119" s="129">
        <v>110</v>
      </c>
      <c r="C119" s="101" t="s">
        <v>21</v>
      </c>
      <c r="D119" s="123" t="s">
        <v>13</v>
      </c>
      <c r="E119" s="204">
        <v>41</v>
      </c>
      <c r="F119" s="147">
        <f>(((4.4*2)+6.6+1.01)*0.3+(5.2*0.25))*3.3</f>
        <v>20.535899999999998</v>
      </c>
      <c r="G119" s="147">
        <v>11.5</v>
      </c>
      <c r="H119" s="147"/>
      <c r="I119" s="147">
        <f>G119*0.1</f>
        <v>1.1500000000000001</v>
      </c>
      <c r="J119" s="147">
        <f t="shared" si="32"/>
        <v>236.16284999999999</v>
      </c>
      <c r="K119" s="147">
        <f t="shared" si="33"/>
        <v>0</v>
      </c>
      <c r="L119" s="147">
        <f t="shared" si="34"/>
        <v>23.616285000000001</v>
      </c>
      <c r="M119" s="147">
        <f t="shared" si="35"/>
        <v>259.779135</v>
      </c>
      <c r="N119" s="149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/>
      <c r="BJ119" s="104"/>
      <c r="BK119" s="104"/>
      <c r="BL119" s="104"/>
      <c r="BM119" s="104"/>
      <c r="BN119" s="104"/>
      <c r="BO119" s="104"/>
      <c r="BP119" s="104"/>
      <c r="BQ119" s="104"/>
      <c r="BR119" s="104"/>
      <c r="BS119" s="104"/>
      <c r="BT119" s="104"/>
      <c r="BU119" s="104"/>
      <c r="BV119" s="104"/>
      <c r="BW119" s="104"/>
      <c r="BX119" s="104"/>
      <c r="BY119" s="104"/>
      <c r="BZ119" s="104"/>
      <c r="CA119" s="104"/>
      <c r="CB119" s="104"/>
      <c r="CC119" s="104"/>
      <c r="CD119" s="104"/>
      <c r="CE119" s="104"/>
      <c r="CF119" s="104"/>
      <c r="CG119" s="104"/>
      <c r="CH119" s="104"/>
      <c r="CI119" s="104"/>
      <c r="CJ119" s="104"/>
      <c r="CK119" s="104"/>
    </row>
    <row r="120" spans="1:89" s="101" customFormat="1">
      <c r="A120" s="160"/>
      <c r="B120" s="129">
        <v>111</v>
      </c>
      <c r="C120" s="110" t="s">
        <v>309</v>
      </c>
      <c r="D120" s="123" t="s">
        <v>13</v>
      </c>
      <c r="E120" s="204"/>
      <c r="F120" s="147">
        <v>5.5</v>
      </c>
      <c r="G120" s="147">
        <v>7</v>
      </c>
      <c r="H120" s="147"/>
      <c r="I120" s="147">
        <f>G120*0.1</f>
        <v>0.70000000000000007</v>
      </c>
      <c r="J120" s="147">
        <f t="shared" si="32"/>
        <v>38.5</v>
      </c>
      <c r="K120" s="147">
        <f t="shared" si="33"/>
        <v>0</v>
      </c>
      <c r="L120" s="147">
        <f t="shared" si="34"/>
        <v>3.8500000000000005</v>
      </c>
      <c r="M120" s="147">
        <f t="shared" si="35"/>
        <v>42.35</v>
      </c>
      <c r="N120" s="149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BN120" s="104"/>
      <c r="BO120" s="104"/>
      <c r="BP120" s="104"/>
      <c r="BQ120" s="104"/>
      <c r="BR120" s="104"/>
      <c r="BS120" s="104"/>
      <c r="BT120" s="104"/>
      <c r="BU120" s="104"/>
      <c r="BV120" s="104"/>
      <c r="BW120" s="104"/>
      <c r="BX120" s="104"/>
      <c r="BY120" s="104"/>
      <c r="BZ120" s="104"/>
      <c r="CA120" s="104"/>
      <c r="CB120" s="104"/>
      <c r="CC120" s="104"/>
      <c r="CD120" s="104"/>
      <c r="CE120" s="104"/>
      <c r="CF120" s="104"/>
      <c r="CG120" s="104"/>
      <c r="CH120" s="104"/>
      <c r="CI120" s="104"/>
      <c r="CJ120" s="104"/>
      <c r="CK120" s="104"/>
    </row>
    <row r="121" spans="1:89" s="116" customFormat="1">
      <c r="A121" s="162"/>
      <c r="B121" s="129">
        <v>112</v>
      </c>
      <c r="C121" s="106"/>
      <c r="D121" s="124"/>
      <c r="E121" s="210"/>
      <c r="F121" s="205"/>
      <c r="G121" s="205"/>
      <c r="H121" s="205"/>
      <c r="I121" s="205"/>
      <c r="J121" s="147">
        <f t="shared" si="32"/>
        <v>0</v>
      </c>
      <c r="K121" s="147">
        <f t="shared" si="33"/>
        <v>0</v>
      </c>
      <c r="L121" s="147">
        <f t="shared" si="34"/>
        <v>0</v>
      </c>
      <c r="M121" s="147">
        <f t="shared" si="35"/>
        <v>0</v>
      </c>
      <c r="N121" s="177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3"/>
      <c r="CK121" s="113"/>
    </row>
    <row r="122" spans="1:89" s="116" customFormat="1">
      <c r="A122" s="162"/>
      <c r="B122" s="129">
        <v>113</v>
      </c>
      <c r="C122" s="106" t="s">
        <v>283</v>
      </c>
      <c r="D122" s="124"/>
      <c r="E122" s="210"/>
      <c r="F122" s="205">
        <v>19.5</v>
      </c>
      <c r="G122" s="205"/>
      <c r="H122" s="205">
        <v>33.799999999999997</v>
      </c>
      <c r="I122" s="205">
        <f>H122*0.03</f>
        <v>1.0139999999999998</v>
      </c>
      <c r="J122" s="147">
        <f t="shared" si="32"/>
        <v>0</v>
      </c>
      <c r="K122" s="147">
        <f t="shared" si="33"/>
        <v>659.09999999999991</v>
      </c>
      <c r="L122" s="147">
        <f t="shared" si="34"/>
        <v>19.772999999999996</v>
      </c>
      <c r="M122" s="147">
        <f t="shared" si="35"/>
        <v>678.87299999999993</v>
      </c>
      <c r="N122" s="177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  <c r="BZ122" s="113"/>
      <c r="CA122" s="113"/>
      <c r="CB122" s="113"/>
      <c r="CC122" s="113"/>
      <c r="CD122" s="113"/>
      <c r="CE122" s="113"/>
      <c r="CF122" s="113"/>
      <c r="CG122" s="113"/>
      <c r="CH122" s="113"/>
      <c r="CI122" s="113"/>
      <c r="CJ122" s="113"/>
      <c r="CK122" s="113"/>
    </row>
    <row r="123" spans="1:89" s="116" customFormat="1">
      <c r="A123" s="162"/>
      <c r="B123" s="129">
        <v>114</v>
      </c>
      <c r="C123" s="106" t="s">
        <v>50</v>
      </c>
      <c r="D123" s="124" t="s">
        <v>16</v>
      </c>
      <c r="E123" s="210">
        <v>1.8</v>
      </c>
      <c r="F123" s="205">
        <v>1</v>
      </c>
      <c r="G123" s="205"/>
      <c r="H123" s="205">
        <v>40</v>
      </c>
      <c r="I123" s="205">
        <f>H123*0.03</f>
        <v>1.2</v>
      </c>
      <c r="J123" s="147">
        <f t="shared" si="32"/>
        <v>0</v>
      </c>
      <c r="K123" s="147">
        <f t="shared" si="33"/>
        <v>40</v>
      </c>
      <c r="L123" s="147">
        <f t="shared" si="34"/>
        <v>1.2</v>
      </c>
      <c r="M123" s="147">
        <f t="shared" si="35"/>
        <v>41.2</v>
      </c>
      <c r="N123" s="177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/>
      <c r="BT123" s="113"/>
      <c r="BU123" s="113"/>
      <c r="BV123" s="113"/>
      <c r="BW123" s="113"/>
      <c r="BX123" s="113"/>
      <c r="BY123" s="113"/>
      <c r="BZ123" s="113"/>
      <c r="CA123" s="113"/>
      <c r="CB123" s="113"/>
      <c r="CC123" s="113"/>
      <c r="CD123" s="113"/>
      <c r="CE123" s="113"/>
      <c r="CF123" s="113"/>
      <c r="CG123" s="113"/>
      <c r="CH123" s="113"/>
      <c r="CI123" s="113"/>
      <c r="CJ123" s="113"/>
      <c r="CK123" s="113"/>
    </row>
    <row r="124" spans="1:89" s="116" customFormat="1">
      <c r="A124" s="162"/>
      <c r="B124" s="129">
        <v>115</v>
      </c>
      <c r="C124" s="106" t="s">
        <v>51</v>
      </c>
      <c r="D124" s="124" t="s">
        <v>13</v>
      </c>
      <c r="E124" s="210">
        <v>10</v>
      </c>
      <c r="F124" s="205">
        <v>5</v>
      </c>
      <c r="G124" s="205"/>
      <c r="H124" s="205">
        <v>4.8</v>
      </c>
      <c r="I124" s="205">
        <f>H124*0.03</f>
        <v>0.14399999999999999</v>
      </c>
      <c r="J124" s="147">
        <f t="shared" si="32"/>
        <v>0</v>
      </c>
      <c r="K124" s="147">
        <f t="shared" si="33"/>
        <v>24</v>
      </c>
      <c r="L124" s="147">
        <f t="shared" si="34"/>
        <v>0.72</v>
      </c>
      <c r="M124" s="147">
        <f t="shared" si="35"/>
        <v>24.72</v>
      </c>
      <c r="N124" s="177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  <c r="BZ124" s="113"/>
      <c r="CA124" s="113"/>
      <c r="CB124" s="113"/>
      <c r="CC124" s="113"/>
      <c r="CD124" s="113"/>
      <c r="CE124" s="113"/>
      <c r="CF124" s="113"/>
      <c r="CG124" s="113"/>
      <c r="CH124" s="113"/>
      <c r="CI124" s="113"/>
      <c r="CJ124" s="113"/>
      <c r="CK124" s="113"/>
    </row>
    <row r="125" spans="1:89" s="109" customFormat="1">
      <c r="A125" s="163"/>
      <c r="B125" s="129">
        <v>116</v>
      </c>
      <c r="C125" s="132" t="s">
        <v>304</v>
      </c>
      <c r="D125" s="123" t="s">
        <v>273</v>
      </c>
      <c r="E125" s="204"/>
      <c r="F125" s="147">
        <v>34</v>
      </c>
      <c r="G125" s="147"/>
      <c r="H125" s="147"/>
      <c r="I125" s="147"/>
      <c r="J125" s="147">
        <f t="shared" si="32"/>
        <v>0</v>
      </c>
      <c r="K125" s="147">
        <f t="shared" si="33"/>
        <v>0</v>
      </c>
      <c r="L125" s="147">
        <f t="shared" si="34"/>
        <v>0</v>
      </c>
      <c r="M125" s="147">
        <f t="shared" si="35"/>
        <v>0</v>
      </c>
      <c r="N125" s="178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4"/>
      <c r="BM125" s="144"/>
      <c r="BN125" s="144"/>
      <c r="BO125" s="144"/>
      <c r="BP125" s="144"/>
      <c r="BQ125" s="144"/>
      <c r="BR125" s="144"/>
      <c r="BS125" s="144"/>
      <c r="BT125" s="144"/>
      <c r="BU125" s="144"/>
      <c r="BV125" s="144"/>
      <c r="BW125" s="144"/>
      <c r="BX125" s="144"/>
      <c r="BY125" s="144"/>
      <c r="BZ125" s="144"/>
      <c r="CA125" s="144"/>
      <c r="CB125" s="144"/>
      <c r="CC125" s="144"/>
      <c r="CD125" s="144"/>
      <c r="CE125" s="144"/>
      <c r="CF125" s="144"/>
      <c r="CG125" s="144"/>
      <c r="CH125" s="144"/>
      <c r="CI125" s="144"/>
      <c r="CJ125" s="144"/>
      <c r="CK125" s="144"/>
    </row>
    <row r="126" spans="1:89" s="109" customFormat="1" ht="25.5" customHeight="1">
      <c r="A126" s="163"/>
      <c r="B126" s="129">
        <v>117</v>
      </c>
      <c r="C126" s="111" t="s">
        <v>312</v>
      </c>
      <c r="D126" s="123" t="s">
        <v>83</v>
      </c>
      <c r="E126" s="204"/>
      <c r="F126" s="147">
        <v>8</v>
      </c>
      <c r="G126" s="147">
        <f>0.75+1.75</f>
        <v>2.5</v>
      </c>
      <c r="H126" s="147">
        <v>2.5</v>
      </c>
      <c r="I126" s="147">
        <f>G126*0.1</f>
        <v>0.25</v>
      </c>
      <c r="J126" s="147">
        <f t="shared" si="32"/>
        <v>20</v>
      </c>
      <c r="K126" s="147">
        <f t="shared" si="33"/>
        <v>20</v>
      </c>
      <c r="L126" s="147">
        <f t="shared" si="34"/>
        <v>2</v>
      </c>
      <c r="M126" s="147">
        <f t="shared" si="35"/>
        <v>42</v>
      </c>
      <c r="N126" s="178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4"/>
      <c r="BP126" s="144"/>
      <c r="BQ126" s="144"/>
      <c r="BR126" s="144"/>
      <c r="BS126" s="144"/>
      <c r="BT126" s="144"/>
      <c r="BU126" s="144"/>
      <c r="BV126" s="144"/>
      <c r="BW126" s="144"/>
      <c r="BX126" s="144"/>
      <c r="BY126" s="144"/>
      <c r="BZ126" s="144"/>
      <c r="CA126" s="144"/>
      <c r="CB126" s="144"/>
      <c r="CC126" s="144"/>
      <c r="CD126" s="144"/>
      <c r="CE126" s="144"/>
      <c r="CF126" s="144"/>
      <c r="CG126" s="144"/>
      <c r="CH126" s="144"/>
      <c r="CI126" s="144"/>
      <c r="CJ126" s="144"/>
      <c r="CK126" s="144"/>
    </row>
    <row r="127" spans="1:89" s="109" customFormat="1" ht="12.75" customHeight="1">
      <c r="A127" s="163"/>
      <c r="B127" s="129">
        <v>118</v>
      </c>
      <c r="C127" s="110" t="s">
        <v>270</v>
      </c>
      <c r="D127" s="123" t="s">
        <v>6</v>
      </c>
      <c r="E127" s="204"/>
      <c r="F127" s="147">
        <f>F125*2*0.3</f>
        <v>20.399999999999999</v>
      </c>
      <c r="G127" s="147">
        <v>1.25</v>
      </c>
      <c r="H127" s="147">
        <v>1.3</v>
      </c>
      <c r="I127" s="147">
        <f>G127*0.1</f>
        <v>0.125</v>
      </c>
      <c r="J127" s="147">
        <f t="shared" si="32"/>
        <v>25.5</v>
      </c>
      <c r="K127" s="147">
        <f t="shared" si="33"/>
        <v>26.52</v>
      </c>
      <c r="L127" s="147">
        <f t="shared" si="34"/>
        <v>2.5499999999999998</v>
      </c>
      <c r="M127" s="147">
        <f t="shared" si="35"/>
        <v>54.569999999999993</v>
      </c>
      <c r="N127" s="178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144"/>
      <c r="BQ127" s="144"/>
      <c r="BR127" s="144"/>
      <c r="BS127" s="144"/>
      <c r="BT127" s="144"/>
      <c r="BU127" s="144"/>
      <c r="BV127" s="144"/>
      <c r="BW127" s="144"/>
      <c r="BX127" s="144"/>
      <c r="BY127" s="144"/>
      <c r="BZ127" s="144"/>
      <c r="CA127" s="144"/>
      <c r="CB127" s="144"/>
      <c r="CC127" s="144"/>
      <c r="CD127" s="144"/>
      <c r="CE127" s="144"/>
      <c r="CF127" s="144"/>
      <c r="CG127" s="144"/>
      <c r="CH127" s="144"/>
      <c r="CI127" s="144"/>
      <c r="CJ127" s="144"/>
      <c r="CK127" s="144"/>
    </row>
    <row r="128" spans="1:89" s="109" customFormat="1">
      <c r="A128" s="163"/>
      <c r="B128" s="129">
        <v>119</v>
      </c>
      <c r="C128" s="110" t="s">
        <v>15</v>
      </c>
      <c r="D128" s="123" t="s">
        <v>16</v>
      </c>
      <c r="E128" s="204"/>
      <c r="F128" s="147">
        <v>0.23499999999999999</v>
      </c>
      <c r="G128" s="147">
        <v>55</v>
      </c>
      <c r="H128" s="147">
        <v>4.5199999999999996</v>
      </c>
      <c r="I128" s="147">
        <f>G128*0.1</f>
        <v>5.5</v>
      </c>
      <c r="J128" s="147">
        <f t="shared" si="32"/>
        <v>12.924999999999999</v>
      </c>
      <c r="K128" s="147">
        <f t="shared" si="33"/>
        <v>1.0621999999999998</v>
      </c>
      <c r="L128" s="147">
        <f t="shared" si="34"/>
        <v>1.2925</v>
      </c>
      <c r="M128" s="147">
        <f t="shared" si="35"/>
        <v>15.279699999999998</v>
      </c>
      <c r="N128" s="178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144"/>
      <c r="BQ128" s="144"/>
      <c r="BR128" s="144"/>
      <c r="BS128" s="144"/>
      <c r="BT128" s="144"/>
      <c r="BU128" s="144"/>
      <c r="BV128" s="144"/>
      <c r="BW128" s="144"/>
      <c r="BX128" s="144"/>
      <c r="BY128" s="144"/>
      <c r="BZ128" s="144"/>
      <c r="CA128" s="144"/>
      <c r="CB128" s="144"/>
      <c r="CC128" s="144"/>
      <c r="CD128" s="144"/>
      <c r="CE128" s="144"/>
      <c r="CF128" s="144"/>
      <c r="CG128" s="144"/>
      <c r="CH128" s="144"/>
      <c r="CI128" s="144"/>
      <c r="CJ128" s="144"/>
      <c r="CK128" s="144"/>
    </row>
    <row r="129" spans="1:89" s="109" customFormat="1">
      <c r="A129" s="163"/>
      <c r="B129" s="129">
        <v>120</v>
      </c>
      <c r="C129" s="110" t="s">
        <v>18</v>
      </c>
      <c r="D129" s="123" t="s">
        <v>13</v>
      </c>
      <c r="E129" s="204"/>
      <c r="F129" s="147">
        <f>F125*0.3*0.3*1.05</f>
        <v>3.2129999999999996</v>
      </c>
      <c r="G129" s="147">
        <v>4.8499999999999996</v>
      </c>
      <c r="H129" s="147"/>
      <c r="I129" s="147">
        <f>G129*0.1</f>
        <v>0.48499999999999999</v>
      </c>
      <c r="J129" s="147">
        <f t="shared" si="32"/>
        <v>15.583049999999997</v>
      </c>
      <c r="K129" s="147">
        <f t="shared" si="33"/>
        <v>0</v>
      </c>
      <c r="L129" s="147">
        <f t="shared" si="34"/>
        <v>1.5583049999999998</v>
      </c>
      <c r="M129" s="147">
        <f t="shared" si="35"/>
        <v>17.141354999999997</v>
      </c>
      <c r="N129" s="178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4"/>
      <c r="BR129" s="144"/>
      <c r="BS129" s="144"/>
      <c r="BT129" s="144"/>
      <c r="BU129" s="144"/>
      <c r="BV129" s="144"/>
      <c r="BW129" s="144"/>
      <c r="BX129" s="144"/>
      <c r="BY129" s="144"/>
      <c r="BZ129" s="144"/>
      <c r="CA129" s="144"/>
      <c r="CB129" s="144"/>
      <c r="CC129" s="144"/>
      <c r="CD129" s="144"/>
      <c r="CE129" s="144"/>
      <c r="CF129" s="144"/>
      <c r="CG129" s="144"/>
      <c r="CH129" s="144"/>
      <c r="CI129" s="144"/>
      <c r="CJ129" s="144"/>
      <c r="CK129" s="144"/>
    </row>
    <row r="130" spans="1:89" s="116" customFormat="1">
      <c r="A130" s="162"/>
      <c r="B130" s="129">
        <v>121</v>
      </c>
      <c r="C130" s="106" t="s">
        <v>305</v>
      </c>
      <c r="D130" s="124" t="s">
        <v>13</v>
      </c>
      <c r="E130" s="210"/>
      <c r="F130" s="205">
        <f>F127*0.04*0.5</f>
        <v>0.40799999999999997</v>
      </c>
      <c r="G130" s="205"/>
      <c r="H130" s="205">
        <v>79</v>
      </c>
      <c r="I130" s="205">
        <f t="shared" ref="I130:I136" si="36">H130*0.03</f>
        <v>2.37</v>
      </c>
      <c r="J130" s="147">
        <f t="shared" si="32"/>
        <v>0</v>
      </c>
      <c r="K130" s="147">
        <f t="shared" si="33"/>
        <v>32.231999999999999</v>
      </c>
      <c r="L130" s="147">
        <f t="shared" si="34"/>
        <v>0.96695999999999993</v>
      </c>
      <c r="M130" s="147">
        <f t="shared" si="35"/>
        <v>33.19896</v>
      </c>
      <c r="N130" s="177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3"/>
      <c r="CH130" s="113"/>
      <c r="CI130" s="113"/>
      <c r="CJ130" s="113"/>
      <c r="CK130" s="113"/>
    </row>
    <row r="131" spans="1:89" s="116" customFormat="1">
      <c r="A131" s="162"/>
      <c r="B131" s="129">
        <v>122</v>
      </c>
      <c r="C131" s="106" t="s">
        <v>306</v>
      </c>
      <c r="D131" s="124" t="s">
        <v>16</v>
      </c>
      <c r="E131" s="210"/>
      <c r="F131" s="205">
        <v>0.23499999999999999</v>
      </c>
      <c r="G131" s="205"/>
      <c r="H131" s="205">
        <v>185</v>
      </c>
      <c r="I131" s="205">
        <f t="shared" si="36"/>
        <v>5.55</v>
      </c>
      <c r="J131" s="147">
        <f t="shared" si="32"/>
        <v>0</v>
      </c>
      <c r="K131" s="147">
        <f t="shared" si="33"/>
        <v>43.474999999999994</v>
      </c>
      <c r="L131" s="147">
        <f t="shared" si="34"/>
        <v>1.3042499999999999</v>
      </c>
      <c r="M131" s="147">
        <f t="shared" si="35"/>
        <v>44.779249999999998</v>
      </c>
      <c r="N131" s="177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3"/>
      <c r="CH131" s="113"/>
      <c r="CI131" s="113"/>
      <c r="CJ131" s="113"/>
      <c r="CK131" s="113"/>
    </row>
    <row r="132" spans="1:89" s="116" customFormat="1">
      <c r="A132" s="162"/>
      <c r="B132" s="129">
        <v>123</v>
      </c>
      <c r="C132" s="106" t="s">
        <v>307</v>
      </c>
      <c r="D132" s="124" t="s">
        <v>13</v>
      </c>
      <c r="E132" s="210"/>
      <c r="F132" s="205">
        <v>3.21</v>
      </c>
      <c r="G132" s="205"/>
      <c r="H132" s="205">
        <v>25.8</v>
      </c>
      <c r="I132" s="205">
        <f t="shared" si="36"/>
        <v>0.77400000000000002</v>
      </c>
      <c r="J132" s="147">
        <f t="shared" si="32"/>
        <v>0</v>
      </c>
      <c r="K132" s="147">
        <f t="shared" si="33"/>
        <v>82.817999999999998</v>
      </c>
      <c r="L132" s="147">
        <f t="shared" si="34"/>
        <v>2.48454</v>
      </c>
      <c r="M132" s="147">
        <f t="shared" si="35"/>
        <v>85.302539999999993</v>
      </c>
      <c r="N132" s="177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3"/>
      <c r="CA132" s="113"/>
      <c r="CB132" s="113"/>
      <c r="CC132" s="113"/>
      <c r="CD132" s="113"/>
      <c r="CE132" s="113"/>
      <c r="CF132" s="113"/>
      <c r="CG132" s="113"/>
      <c r="CH132" s="113"/>
      <c r="CI132" s="113"/>
      <c r="CJ132" s="113"/>
      <c r="CK132" s="113"/>
    </row>
    <row r="133" spans="1:89" s="109" customFormat="1">
      <c r="A133" s="163"/>
      <c r="B133" s="129">
        <v>124</v>
      </c>
      <c r="C133" s="109" t="s">
        <v>308</v>
      </c>
      <c r="D133" s="123" t="s">
        <v>83</v>
      </c>
      <c r="E133" s="204"/>
      <c r="F133" s="147">
        <v>1</v>
      </c>
      <c r="G133" s="147">
        <f>(F136+F135+F134)*400</f>
        <v>68</v>
      </c>
      <c r="H133" s="147"/>
      <c r="I133" s="147">
        <f>G133*0.1</f>
        <v>6.8000000000000007</v>
      </c>
      <c r="J133" s="147">
        <f t="shared" si="32"/>
        <v>68</v>
      </c>
      <c r="K133" s="147">
        <f t="shared" si="33"/>
        <v>0</v>
      </c>
      <c r="L133" s="147">
        <f t="shared" si="34"/>
        <v>6.8000000000000007</v>
      </c>
      <c r="M133" s="147">
        <f t="shared" si="35"/>
        <v>74.8</v>
      </c>
      <c r="N133" s="178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44"/>
      <c r="BX133" s="144"/>
      <c r="BY133" s="144"/>
      <c r="BZ133" s="144"/>
      <c r="CA133" s="144"/>
      <c r="CB133" s="144"/>
      <c r="CC133" s="144"/>
      <c r="CD133" s="144"/>
      <c r="CE133" s="144"/>
      <c r="CF133" s="144"/>
      <c r="CG133" s="144"/>
      <c r="CH133" s="144"/>
      <c r="CI133" s="144"/>
      <c r="CJ133" s="144"/>
      <c r="CK133" s="144"/>
    </row>
    <row r="134" spans="1:89" s="101" customFormat="1">
      <c r="A134" s="160"/>
      <c r="B134" s="129">
        <v>125</v>
      </c>
      <c r="C134" s="106" t="s">
        <v>291</v>
      </c>
      <c r="D134" s="123" t="s">
        <v>16</v>
      </c>
      <c r="E134" s="204"/>
      <c r="F134" s="147">
        <v>0.114</v>
      </c>
      <c r="G134" s="147"/>
      <c r="H134" s="147">
        <v>200</v>
      </c>
      <c r="I134" s="205">
        <f t="shared" si="36"/>
        <v>6</v>
      </c>
      <c r="J134" s="147">
        <f t="shared" si="32"/>
        <v>0</v>
      </c>
      <c r="K134" s="147">
        <f t="shared" si="33"/>
        <v>22.8</v>
      </c>
      <c r="L134" s="147">
        <f t="shared" si="34"/>
        <v>0.68400000000000005</v>
      </c>
      <c r="M134" s="147">
        <f t="shared" si="35"/>
        <v>23.484000000000002</v>
      </c>
      <c r="N134" s="149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4"/>
      <c r="BT134" s="104"/>
      <c r="BU134" s="104"/>
      <c r="BV134" s="104"/>
      <c r="BW134" s="104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  <c r="CI134" s="104"/>
      <c r="CJ134" s="104"/>
      <c r="CK134" s="104"/>
    </row>
    <row r="135" spans="1:89" s="101" customFormat="1">
      <c r="A135" s="160"/>
      <c r="B135" s="129">
        <v>126</v>
      </c>
      <c r="C135" s="106" t="s">
        <v>294</v>
      </c>
      <c r="D135" s="123" t="s">
        <v>16</v>
      </c>
      <c r="E135" s="204"/>
      <c r="F135" s="147">
        <v>1.4999999999999999E-2</v>
      </c>
      <c r="G135" s="147"/>
      <c r="H135" s="147">
        <v>200</v>
      </c>
      <c r="I135" s="205">
        <f t="shared" si="36"/>
        <v>6</v>
      </c>
      <c r="J135" s="147">
        <f t="shared" si="32"/>
        <v>0</v>
      </c>
      <c r="K135" s="147">
        <f t="shared" si="33"/>
        <v>3</v>
      </c>
      <c r="L135" s="147">
        <f t="shared" si="34"/>
        <v>0.09</v>
      </c>
      <c r="M135" s="147">
        <f t="shared" si="35"/>
        <v>3.09</v>
      </c>
      <c r="N135" s="149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4"/>
    </row>
    <row r="136" spans="1:89" s="101" customFormat="1">
      <c r="A136" s="160"/>
      <c r="B136" s="129">
        <v>127</v>
      </c>
      <c r="C136" s="106" t="s">
        <v>295</v>
      </c>
      <c r="D136" s="123" t="s">
        <v>16</v>
      </c>
      <c r="E136" s="204"/>
      <c r="F136" s="147">
        <v>4.1000000000000002E-2</v>
      </c>
      <c r="G136" s="147"/>
      <c r="H136" s="147">
        <v>200</v>
      </c>
      <c r="I136" s="205">
        <f t="shared" si="36"/>
        <v>6</v>
      </c>
      <c r="J136" s="147">
        <f t="shared" si="32"/>
        <v>0</v>
      </c>
      <c r="K136" s="147">
        <f t="shared" si="33"/>
        <v>8.2000000000000011</v>
      </c>
      <c r="L136" s="147">
        <f t="shared" si="34"/>
        <v>0.246</v>
      </c>
      <c r="M136" s="147">
        <f t="shared" si="35"/>
        <v>8.4460000000000015</v>
      </c>
      <c r="N136" s="149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</row>
    <row r="137" spans="1:89" s="136" customFormat="1">
      <c r="A137" s="164"/>
      <c r="B137" s="129">
        <v>128</v>
      </c>
      <c r="C137" s="136" t="s">
        <v>239</v>
      </c>
      <c r="D137" s="137" t="s">
        <v>6</v>
      </c>
      <c r="E137" s="209"/>
      <c r="F137" s="206">
        <v>105.9</v>
      </c>
      <c r="G137" s="206"/>
      <c r="H137" s="206"/>
      <c r="I137" s="206"/>
      <c r="J137" s="147">
        <f t="shared" ref="J137:J155" si="37">F137*G137</f>
        <v>0</v>
      </c>
      <c r="K137" s="147">
        <f t="shared" ref="K137:K155" si="38">F137*H137</f>
        <v>0</v>
      </c>
      <c r="L137" s="147">
        <f t="shared" ref="L137:L155" si="39">F137*I137</f>
        <v>0</v>
      </c>
      <c r="M137" s="147">
        <f t="shared" ref="M137:M155" si="40">J137+K137+L137</f>
        <v>0</v>
      </c>
      <c r="N137" s="17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</row>
    <row r="138" spans="1:89" s="109" customFormat="1">
      <c r="A138" s="163"/>
      <c r="B138" s="129">
        <v>129</v>
      </c>
      <c r="C138" s="109" t="s">
        <v>285</v>
      </c>
      <c r="D138" s="123" t="s">
        <v>273</v>
      </c>
      <c r="E138" s="204"/>
      <c r="F138" s="147">
        <f>(10.1*3)+3.5+15</f>
        <v>48.8</v>
      </c>
      <c r="G138" s="147">
        <v>1.6</v>
      </c>
      <c r="H138" s="147">
        <v>0.25</v>
      </c>
      <c r="I138" s="147">
        <f t="shared" ref="I138:I143" si="41">G138*0.1</f>
        <v>0.16000000000000003</v>
      </c>
      <c r="J138" s="147">
        <f t="shared" si="37"/>
        <v>78.08</v>
      </c>
      <c r="K138" s="147">
        <f t="shared" si="38"/>
        <v>12.2</v>
      </c>
      <c r="L138" s="147">
        <f t="shared" si="39"/>
        <v>7.8080000000000007</v>
      </c>
      <c r="M138" s="147">
        <f t="shared" si="40"/>
        <v>98.088000000000008</v>
      </c>
      <c r="N138" s="178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44"/>
      <c r="CB138" s="144"/>
      <c r="CC138" s="144"/>
      <c r="CD138" s="144"/>
      <c r="CE138" s="144"/>
      <c r="CF138" s="144"/>
      <c r="CG138" s="144"/>
      <c r="CH138" s="144"/>
      <c r="CI138" s="144"/>
      <c r="CJ138" s="144"/>
      <c r="CK138" s="144"/>
    </row>
    <row r="139" spans="1:89" s="109" customFormat="1">
      <c r="A139" s="163"/>
      <c r="B139" s="129">
        <v>130</v>
      </c>
      <c r="C139" s="109" t="s">
        <v>290</v>
      </c>
      <c r="D139" s="123" t="s">
        <v>83</v>
      </c>
      <c r="E139" s="204"/>
      <c r="F139" s="147">
        <v>50</v>
      </c>
      <c r="G139" s="147">
        <v>1.1000000000000001</v>
      </c>
      <c r="H139" s="147">
        <v>0.05</v>
      </c>
      <c r="I139" s="147">
        <f t="shared" si="41"/>
        <v>0.11000000000000001</v>
      </c>
      <c r="J139" s="147">
        <f t="shared" si="37"/>
        <v>55.000000000000007</v>
      </c>
      <c r="K139" s="147">
        <f t="shared" si="38"/>
        <v>2.5</v>
      </c>
      <c r="L139" s="147">
        <f t="shared" si="39"/>
        <v>5.5000000000000009</v>
      </c>
      <c r="M139" s="147">
        <f t="shared" si="40"/>
        <v>63.000000000000007</v>
      </c>
      <c r="N139" s="178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4"/>
      <c r="BR139" s="144"/>
      <c r="BS139" s="144"/>
      <c r="BT139" s="144"/>
      <c r="BU139" s="144"/>
      <c r="BV139" s="144"/>
      <c r="BW139" s="144"/>
      <c r="BX139" s="144"/>
      <c r="BY139" s="144"/>
      <c r="BZ139" s="144"/>
      <c r="CA139" s="144"/>
      <c r="CB139" s="144"/>
      <c r="CC139" s="144"/>
      <c r="CD139" s="144"/>
      <c r="CE139" s="144"/>
      <c r="CF139" s="144"/>
      <c r="CG139" s="144"/>
      <c r="CH139" s="144"/>
      <c r="CI139" s="144"/>
      <c r="CJ139" s="144"/>
      <c r="CK139" s="144"/>
    </row>
    <row r="140" spans="1:89" s="109" customFormat="1">
      <c r="A140" s="163"/>
      <c r="B140" s="129">
        <v>131</v>
      </c>
      <c r="C140" s="109" t="s">
        <v>286</v>
      </c>
      <c r="D140" s="123" t="s">
        <v>6</v>
      </c>
      <c r="E140" s="204"/>
      <c r="F140" s="147">
        <v>105.9</v>
      </c>
      <c r="G140" s="147">
        <v>0.65</v>
      </c>
      <c r="H140" s="147"/>
      <c r="I140" s="147">
        <f t="shared" si="41"/>
        <v>6.5000000000000002E-2</v>
      </c>
      <c r="J140" s="147">
        <f t="shared" si="37"/>
        <v>68.835000000000008</v>
      </c>
      <c r="K140" s="147">
        <f t="shared" si="38"/>
        <v>0</v>
      </c>
      <c r="L140" s="147">
        <f t="shared" si="39"/>
        <v>6.8835000000000006</v>
      </c>
      <c r="M140" s="147">
        <f t="shared" si="40"/>
        <v>75.718500000000006</v>
      </c>
      <c r="N140" s="178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4"/>
      <c r="BN140" s="144"/>
      <c r="BO140" s="144"/>
      <c r="BP140" s="144"/>
      <c r="BQ140" s="144"/>
      <c r="BR140" s="144"/>
      <c r="BS140" s="144"/>
      <c r="BT140" s="144"/>
      <c r="BU140" s="144"/>
      <c r="BV140" s="144"/>
      <c r="BW140" s="144"/>
      <c r="BX140" s="144"/>
      <c r="BY140" s="144"/>
      <c r="BZ140" s="144"/>
      <c r="CA140" s="144"/>
      <c r="CB140" s="144"/>
      <c r="CC140" s="144"/>
      <c r="CD140" s="144"/>
      <c r="CE140" s="144"/>
      <c r="CF140" s="144"/>
      <c r="CG140" s="144"/>
      <c r="CH140" s="144"/>
      <c r="CI140" s="144"/>
      <c r="CJ140" s="144"/>
      <c r="CK140" s="144"/>
    </row>
    <row r="141" spans="1:89" s="109" customFormat="1">
      <c r="A141" s="163"/>
      <c r="B141" s="129">
        <v>132</v>
      </c>
      <c r="C141" s="109" t="s">
        <v>287</v>
      </c>
      <c r="D141" s="123" t="s">
        <v>6</v>
      </c>
      <c r="E141" s="204"/>
      <c r="F141" s="147">
        <v>105.9</v>
      </c>
      <c r="G141" s="147">
        <v>0.1</v>
      </c>
      <c r="H141" s="147"/>
      <c r="I141" s="147">
        <f t="shared" si="41"/>
        <v>1.0000000000000002E-2</v>
      </c>
      <c r="J141" s="147">
        <f t="shared" si="37"/>
        <v>10.590000000000002</v>
      </c>
      <c r="K141" s="147">
        <f t="shared" si="38"/>
        <v>0</v>
      </c>
      <c r="L141" s="147">
        <f t="shared" si="39"/>
        <v>1.0590000000000002</v>
      </c>
      <c r="M141" s="147">
        <f t="shared" si="40"/>
        <v>11.649000000000001</v>
      </c>
      <c r="N141" s="178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4"/>
      <c r="BN141" s="144"/>
      <c r="BO141" s="144"/>
      <c r="BP141" s="144"/>
      <c r="BQ141" s="144"/>
      <c r="BR141" s="144"/>
      <c r="BS141" s="144"/>
      <c r="BT141" s="144"/>
      <c r="BU141" s="144"/>
      <c r="BV141" s="144"/>
      <c r="BW141" s="144"/>
      <c r="BX141" s="144"/>
      <c r="BY141" s="144"/>
      <c r="BZ141" s="144"/>
      <c r="CA141" s="144"/>
      <c r="CB141" s="144"/>
      <c r="CC141" s="144"/>
      <c r="CD141" s="144"/>
      <c r="CE141" s="144"/>
      <c r="CF141" s="144"/>
      <c r="CG141" s="144"/>
      <c r="CH141" s="144"/>
      <c r="CI141" s="144"/>
      <c r="CJ141" s="144"/>
      <c r="CK141" s="144"/>
    </row>
    <row r="142" spans="1:89" s="109" customFormat="1">
      <c r="A142" s="163"/>
      <c r="B142" s="129">
        <v>133</v>
      </c>
      <c r="C142" s="109" t="s">
        <v>288</v>
      </c>
      <c r="D142" s="123" t="s">
        <v>6</v>
      </c>
      <c r="E142" s="204"/>
      <c r="F142" s="147">
        <v>105.9</v>
      </c>
      <c r="G142" s="147">
        <v>0.6</v>
      </c>
      <c r="H142" s="147"/>
      <c r="I142" s="147">
        <f t="shared" si="41"/>
        <v>0.06</v>
      </c>
      <c r="J142" s="147">
        <f t="shared" si="37"/>
        <v>63.54</v>
      </c>
      <c r="K142" s="147">
        <f t="shared" si="38"/>
        <v>0</v>
      </c>
      <c r="L142" s="147">
        <f t="shared" si="39"/>
        <v>6.3540000000000001</v>
      </c>
      <c r="M142" s="147">
        <f t="shared" si="40"/>
        <v>69.894000000000005</v>
      </c>
      <c r="N142" s="178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4"/>
      <c r="BR142" s="144"/>
      <c r="BS142" s="144"/>
      <c r="BT142" s="144"/>
      <c r="BU142" s="144"/>
      <c r="BV142" s="144"/>
      <c r="BW142" s="144"/>
      <c r="BX142" s="144"/>
      <c r="BY142" s="144"/>
      <c r="BZ142" s="144"/>
      <c r="CA142" s="144"/>
      <c r="CB142" s="144"/>
      <c r="CC142" s="144"/>
      <c r="CD142" s="144"/>
      <c r="CE142" s="144"/>
      <c r="CF142" s="144"/>
      <c r="CG142" s="144"/>
      <c r="CH142" s="144"/>
      <c r="CI142" s="144"/>
      <c r="CJ142" s="144"/>
      <c r="CK142" s="144"/>
    </row>
    <row r="143" spans="1:89" s="109" customFormat="1">
      <c r="A143" s="163"/>
      <c r="B143" s="129">
        <v>134</v>
      </c>
      <c r="C143" s="109" t="s">
        <v>289</v>
      </c>
      <c r="D143" s="123" t="s">
        <v>6</v>
      </c>
      <c r="E143" s="204"/>
      <c r="F143" s="147">
        <v>105.9</v>
      </c>
      <c r="G143" s="147">
        <v>0.75</v>
      </c>
      <c r="H143" s="147"/>
      <c r="I143" s="147">
        <f t="shared" si="41"/>
        <v>7.5000000000000011E-2</v>
      </c>
      <c r="J143" s="147">
        <f t="shared" si="37"/>
        <v>79.425000000000011</v>
      </c>
      <c r="K143" s="147">
        <f t="shared" si="38"/>
        <v>0</v>
      </c>
      <c r="L143" s="147">
        <f t="shared" si="39"/>
        <v>7.9425000000000017</v>
      </c>
      <c r="M143" s="147">
        <f t="shared" si="40"/>
        <v>87.367500000000007</v>
      </c>
      <c r="N143" s="178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  <c r="BI143" s="144"/>
      <c r="BJ143" s="144"/>
      <c r="BK143" s="144"/>
      <c r="BL143" s="144"/>
      <c r="BM143" s="144"/>
      <c r="BN143" s="144"/>
      <c r="BO143" s="144"/>
      <c r="BP143" s="144"/>
      <c r="BQ143" s="144"/>
      <c r="BR143" s="144"/>
      <c r="BS143" s="144"/>
      <c r="BT143" s="144"/>
      <c r="BU143" s="144"/>
      <c r="BV143" s="144"/>
      <c r="BW143" s="144"/>
      <c r="BX143" s="144"/>
      <c r="BY143" s="144"/>
      <c r="BZ143" s="144"/>
      <c r="CA143" s="144"/>
      <c r="CB143" s="144"/>
      <c r="CC143" s="144"/>
      <c r="CD143" s="144"/>
      <c r="CE143" s="144"/>
      <c r="CF143" s="144"/>
      <c r="CG143" s="144"/>
      <c r="CH143" s="144"/>
      <c r="CI143" s="144"/>
      <c r="CJ143" s="144"/>
      <c r="CK143" s="144"/>
    </row>
    <row r="144" spans="1:89" s="101" customFormat="1">
      <c r="A144" s="160"/>
      <c r="B144" s="129">
        <v>135</v>
      </c>
      <c r="C144" s="106" t="s">
        <v>292</v>
      </c>
      <c r="D144" s="123" t="s">
        <v>16</v>
      </c>
      <c r="E144" s="204"/>
      <c r="F144" s="147">
        <v>0.83799999999999997</v>
      </c>
      <c r="G144" s="147"/>
      <c r="H144" s="147">
        <v>200</v>
      </c>
      <c r="I144" s="205">
        <f t="shared" ref="I144:I154" si="42">H144*0.03</f>
        <v>6</v>
      </c>
      <c r="J144" s="147">
        <f t="shared" si="37"/>
        <v>0</v>
      </c>
      <c r="K144" s="147">
        <f t="shared" si="38"/>
        <v>167.6</v>
      </c>
      <c r="L144" s="147">
        <f t="shared" si="39"/>
        <v>5.0279999999999996</v>
      </c>
      <c r="M144" s="147">
        <f t="shared" si="40"/>
        <v>172.62799999999999</v>
      </c>
      <c r="N144" s="149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</row>
    <row r="145" spans="1:89" s="101" customFormat="1">
      <c r="A145" s="160"/>
      <c r="B145" s="129">
        <v>136</v>
      </c>
      <c r="C145" s="106" t="s">
        <v>293</v>
      </c>
      <c r="D145" s="123" t="s">
        <v>16</v>
      </c>
      <c r="E145" s="204"/>
      <c r="F145" s="147">
        <v>8.1000000000000003E-2</v>
      </c>
      <c r="G145" s="147"/>
      <c r="H145" s="147">
        <v>200</v>
      </c>
      <c r="I145" s="205">
        <f t="shared" si="42"/>
        <v>6</v>
      </c>
      <c r="J145" s="147">
        <f t="shared" si="37"/>
        <v>0</v>
      </c>
      <c r="K145" s="147">
        <f t="shared" si="38"/>
        <v>16.2</v>
      </c>
      <c r="L145" s="147">
        <f t="shared" si="39"/>
        <v>0.48599999999999999</v>
      </c>
      <c r="M145" s="147">
        <f t="shared" si="40"/>
        <v>16.686</v>
      </c>
      <c r="N145" s="149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</row>
    <row r="146" spans="1:89" s="101" customFormat="1">
      <c r="A146" s="160"/>
      <c r="B146" s="129">
        <v>137</v>
      </c>
      <c r="C146" s="106" t="s">
        <v>310</v>
      </c>
      <c r="D146" s="123" t="s">
        <v>16</v>
      </c>
      <c r="E146" s="204"/>
      <c r="F146" s="147">
        <v>7.0000000000000001E-3</v>
      </c>
      <c r="G146" s="147"/>
      <c r="H146" s="147">
        <v>200</v>
      </c>
      <c r="I146" s="205">
        <f t="shared" si="42"/>
        <v>6</v>
      </c>
      <c r="J146" s="147">
        <f t="shared" si="37"/>
        <v>0</v>
      </c>
      <c r="K146" s="147">
        <f t="shared" si="38"/>
        <v>1.4000000000000001</v>
      </c>
      <c r="L146" s="147">
        <f t="shared" si="39"/>
        <v>4.2000000000000003E-2</v>
      </c>
      <c r="M146" s="147">
        <f t="shared" si="40"/>
        <v>1.4420000000000002</v>
      </c>
      <c r="N146" s="149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</row>
    <row r="147" spans="1:89" s="101" customFormat="1">
      <c r="A147" s="160"/>
      <c r="B147" s="129">
        <v>138</v>
      </c>
      <c r="C147" s="106" t="s">
        <v>296</v>
      </c>
      <c r="D147" s="123" t="s">
        <v>13</v>
      </c>
      <c r="E147" s="204"/>
      <c r="F147" s="147">
        <f>0.2*1.1</f>
        <v>0.22000000000000003</v>
      </c>
      <c r="G147" s="147"/>
      <c r="H147" s="147">
        <v>79</v>
      </c>
      <c r="I147" s="205">
        <f t="shared" si="42"/>
        <v>2.37</v>
      </c>
      <c r="J147" s="147">
        <f t="shared" si="37"/>
        <v>0</v>
      </c>
      <c r="K147" s="147">
        <f t="shared" si="38"/>
        <v>17.380000000000003</v>
      </c>
      <c r="L147" s="147">
        <f t="shared" si="39"/>
        <v>0.52140000000000009</v>
      </c>
      <c r="M147" s="147">
        <f t="shared" si="40"/>
        <v>17.901400000000002</v>
      </c>
      <c r="N147" s="149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</row>
    <row r="148" spans="1:89" s="101" customFormat="1">
      <c r="A148" s="160"/>
      <c r="B148" s="129">
        <v>139</v>
      </c>
      <c r="C148" s="106" t="s">
        <v>299</v>
      </c>
      <c r="D148" s="123" t="s">
        <v>13</v>
      </c>
      <c r="E148" s="204"/>
      <c r="F148" s="147">
        <f>2.6*1.1</f>
        <v>2.8600000000000003</v>
      </c>
      <c r="G148" s="147"/>
      <c r="H148" s="147">
        <v>92</v>
      </c>
      <c r="I148" s="205">
        <f t="shared" si="42"/>
        <v>2.76</v>
      </c>
      <c r="J148" s="147">
        <f t="shared" si="37"/>
        <v>0</v>
      </c>
      <c r="K148" s="147">
        <f t="shared" si="38"/>
        <v>263.12</v>
      </c>
      <c r="L148" s="147">
        <f t="shared" si="39"/>
        <v>7.8936000000000002</v>
      </c>
      <c r="M148" s="147">
        <f t="shared" si="40"/>
        <v>271.0136</v>
      </c>
      <c r="N148" s="149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BN148" s="104"/>
      <c r="BO148" s="104"/>
      <c r="BP148" s="104"/>
      <c r="BQ148" s="104"/>
      <c r="BR148" s="104"/>
      <c r="BS148" s="104"/>
      <c r="BT148" s="104"/>
      <c r="BU148" s="104"/>
      <c r="BV148" s="104"/>
      <c r="BW148" s="104"/>
      <c r="BX148" s="104"/>
      <c r="BY148" s="104"/>
      <c r="BZ148" s="104"/>
      <c r="CA148" s="104"/>
      <c r="CB148" s="104"/>
      <c r="CC148" s="104"/>
      <c r="CD148" s="104"/>
      <c r="CE148" s="104"/>
      <c r="CF148" s="104"/>
      <c r="CG148" s="104"/>
      <c r="CH148" s="104"/>
      <c r="CI148" s="104"/>
      <c r="CJ148" s="104"/>
      <c r="CK148" s="104"/>
    </row>
    <row r="149" spans="1:89" s="101" customFormat="1">
      <c r="A149" s="160"/>
      <c r="B149" s="129">
        <v>140</v>
      </c>
      <c r="C149" s="106" t="s">
        <v>300</v>
      </c>
      <c r="D149" s="123" t="s">
        <v>13</v>
      </c>
      <c r="E149" s="204"/>
      <c r="F149" s="147">
        <f>2.9*1.1</f>
        <v>3.19</v>
      </c>
      <c r="G149" s="147"/>
      <c r="H149" s="147">
        <v>92</v>
      </c>
      <c r="I149" s="205">
        <f t="shared" si="42"/>
        <v>2.76</v>
      </c>
      <c r="J149" s="147">
        <f t="shared" si="37"/>
        <v>0</v>
      </c>
      <c r="K149" s="147">
        <f t="shared" si="38"/>
        <v>293.48</v>
      </c>
      <c r="L149" s="147">
        <f t="shared" si="39"/>
        <v>8.8043999999999993</v>
      </c>
      <c r="M149" s="147">
        <f t="shared" si="40"/>
        <v>302.28440000000001</v>
      </c>
      <c r="N149" s="149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04"/>
      <c r="BQ149" s="104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  <c r="CI149" s="104"/>
      <c r="CJ149" s="104"/>
      <c r="CK149" s="104"/>
    </row>
    <row r="150" spans="1:89" s="101" customFormat="1">
      <c r="A150" s="160"/>
      <c r="B150" s="129">
        <v>141</v>
      </c>
      <c r="C150" s="106" t="s">
        <v>301</v>
      </c>
      <c r="D150" s="123" t="s">
        <v>13</v>
      </c>
      <c r="E150" s="204"/>
      <c r="F150" s="147">
        <v>0.11</v>
      </c>
      <c r="G150" s="147"/>
      <c r="H150" s="147">
        <v>79</v>
      </c>
      <c r="I150" s="205">
        <f t="shared" si="42"/>
        <v>2.37</v>
      </c>
      <c r="J150" s="147">
        <f t="shared" si="37"/>
        <v>0</v>
      </c>
      <c r="K150" s="147">
        <f t="shared" si="38"/>
        <v>8.69</v>
      </c>
      <c r="L150" s="147">
        <f t="shared" si="39"/>
        <v>0.26069999999999999</v>
      </c>
      <c r="M150" s="147">
        <f t="shared" si="40"/>
        <v>8.9506999999999994</v>
      </c>
      <c r="N150" s="149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BN150" s="104"/>
      <c r="BO150" s="104"/>
      <c r="BP150" s="104"/>
      <c r="BQ150" s="104"/>
      <c r="BR150" s="104"/>
      <c r="BS150" s="104"/>
      <c r="BT150" s="104"/>
      <c r="BU150" s="104"/>
      <c r="BV150" s="104"/>
      <c r="BW150" s="104"/>
      <c r="BX150" s="104"/>
      <c r="BY150" s="104"/>
      <c r="BZ150" s="104"/>
      <c r="CA150" s="104"/>
      <c r="CB150" s="104"/>
      <c r="CC150" s="104"/>
      <c r="CD150" s="104"/>
      <c r="CE150" s="104"/>
      <c r="CF150" s="104"/>
      <c r="CG150" s="104"/>
      <c r="CH150" s="104"/>
      <c r="CI150" s="104"/>
      <c r="CJ150" s="104"/>
      <c r="CK150" s="104"/>
    </row>
    <row r="151" spans="1:89" s="101" customFormat="1">
      <c r="A151" s="160"/>
      <c r="B151" s="129">
        <v>142</v>
      </c>
      <c r="C151" s="106" t="s">
        <v>302</v>
      </c>
      <c r="D151" s="123" t="s">
        <v>13</v>
      </c>
      <c r="E151" s="204"/>
      <c r="F151" s="147">
        <f>((F147/0.15)/0.2+(F148/0.12)/0.22+(F149/0.14)/0.22+(F150/0.15)/0.1)*0.04*0.06*1.1</f>
        <v>0.59814857142857147</v>
      </c>
      <c r="G151" s="147"/>
      <c r="H151" s="147">
        <v>79</v>
      </c>
      <c r="I151" s="205">
        <f t="shared" si="42"/>
        <v>2.37</v>
      </c>
      <c r="J151" s="147">
        <f t="shared" si="37"/>
        <v>0</v>
      </c>
      <c r="K151" s="147">
        <f t="shared" si="38"/>
        <v>47.253737142857148</v>
      </c>
      <c r="L151" s="147">
        <f t="shared" si="39"/>
        <v>1.4176121142857145</v>
      </c>
      <c r="M151" s="147">
        <f t="shared" si="40"/>
        <v>48.671349257142865</v>
      </c>
      <c r="N151" s="149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BN151" s="104"/>
      <c r="BO151" s="104"/>
      <c r="BP151" s="104"/>
      <c r="BQ151" s="104"/>
      <c r="BR151" s="104"/>
      <c r="BS151" s="104"/>
      <c r="BT151" s="104"/>
      <c r="BU151" s="104"/>
      <c r="BV151" s="104"/>
      <c r="BW151" s="104"/>
      <c r="BX151" s="104"/>
      <c r="BY151" s="104"/>
      <c r="BZ151" s="104"/>
      <c r="CA151" s="104"/>
      <c r="CB151" s="104"/>
      <c r="CC151" s="104"/>
      <c r="CD151" s="104"/>
      <c r="CE151" s="104"/>
      <c r="CF151" s="104"/>
      <c r="CG151" s="104"/>
      <c r="CH151" s="104"/>
      <c r="CI151" s="104"/>
      <c r="CJ151" s="104"/>
      <c r="CK151" s="104"/>
    </row>
    <row r="152" spans="1:89" s="101" customFormat="1">
      <c r="A152" s="160"/>
      <c r="B152" s="129">
        <v>143</v>
      </c>
      <c r="C152" s="106" t="s">
        <v>298</v>
      </c>
      <c r="D152" s="123" t="s">
        <v>6</v>
      </c>
      <c r="E152" s="204"/>
      <c r="F152" s="147">
        <f>F143*3*1.1</f>
        <v>349.47000000000008</v>
      </c>
      <c r="G152" s="147"/>
      <c r="H152" s="147">
        <v>2.2000000000000002</v>
      </c>
      <c r="I152" s="205">
        <f t="shared" si="42"/>
        <v>6.6000000000000003E-2</v>
      </c>
      <c r="J152" s="147">
        <f t="shared" si="37"/>
        <v>0</v>
      </c>
      <c r="K152" s="147">
        <f t="shared" si="38"/>
        <v>768.83400000000029</v>
      </c>
      <c r="L152" s="147">
        <f t="shared" si="39"/>
        <v>23.065020000000008</v>
      </c>
      <c r="M152" s="147">
        <f t="shared" si="40"/>
        <v>791.89902000000029</v>
      </c>
      <c r="N152" s="149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BN152" s="104"/>
      <c r="BO152" s="104"/>
      <c r="BP152" s="104"/>
      <c r="BQ152" s="104"/>
      <c r="BR152" s="104"/>
      <c r="BS152" s="104"/>
      <c r="BT152" s="104"/>
      <c r="BU152" s="104"/>
      <c r="BV152" s="104"/>
      <c r="BW152" s="104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4"/>
      <c r="CH152" s="104"/>
      <c r="CI152" s="104"/>
      <c r="CJ152" s="104"/>
      <c r="CK152" s="104"/>
    </row>
    <row r="153" spans="1:89" s="101" customFormat="1">
      <c r="A153" s="160"/>
      <c r="B153" s="129">
        <v>144</v>
      </c>
      <c r="C153" s="106" t="s">
        <v>303</v>
      </c>
      <c r="D153" s="123" t="s">
        <v>13</v>
      </c>
      <c r="E153" s="204"/>
      <c r="F153" s="147">
        <f>F143*0.1*1.05</f>
        <v>11.119500000000002</v>
      </c>
      <c r="G153" s="147"/>
      <c r="H153" s="147">
        <v>23</v>
      </c>
      <c r="I153" s="205">
        <f t="shared" si="42"/>
        <v>0.69</v>
      </c>
      <c r="J153" s="147">
        <f t="shared" si="37"/>
        <v>0</v>
      </c>
      <c r="K153" s="147">
        <f t="shared" si="38"/>
        <v>255.74850000000004</v>
      </c>
      <c r="L153" s="147">
        <f t="shared" si="39"/>
        <v>7.6724550000000011</v>
      </c>
      <c r="M153" s="147">
        <f t="shared" si="40"/>
        <v>263.42095500000005</v>
      </c>
      <c r="N153" s="149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BN153" s="104"/>
      <c r="BO153" s="104"/>
      <c r="BP153" s="104"/>
      <c r="BQ153" s="104"/>
      <c r="BR153" s="104"/>
      <c r="BS153" s="104"/>
      <c r="BT153" s="104"/>
      <c r="BU153" s="104"/>
      <c r="BV153" s="104"/>
      <c r="BW153" s="104"/>
      <c r="BX153" s="104"/>
      <c r="BY153" s="104"/>
      <c r="BZ153" s="104"/>
      <c r="CA153" s="104"/>
      <c r="CB153" s="104"/>
      <c r="CC153" s="104"/>
      <c r="CD153" s="104"/>
      <c r="CE153" s="104"/>
      <c r="CF153" s="104"/>
      <c r="CG153" s="104"/>
      <c r="CH153" s="104"/>
      <c r="CI153" s="104"/>
      <c r="CJ153" s="104"/>
      <c r="CK153" s="104"/>
    </row>
    <row r="154" spans="1:89" s="101" customFormat="1">
      <c r="A154" s="160"/>
      <c r="B154" s="129">
        <v>145</v>
      </c>
      <c r="C154" s="106" t="s">
        <v>311</v>
      </c>
      <c r="D154" s="123" t="s">
        <v>47</v>
      </c>
      <c r="E154" s="204"/>
      <c r="F154" s="147">
        <v>8</v>
      </c>
      <c r="G154" s="147"/>
      <c r="H154" s="147">
        <v>0.45</v>
      </c>
      <c r="I154" s="205">
        <f t="shared" si="42"/>
        <v>1.35E-2</v>
      </c>
      <c r="J154" s="147">
        <f t="shared" si="37"/>
        <v>0</v>
      </c>
      <c r="K154" s="147">
        <f t="shared" si="38"/>
        <v>3.6</v>
      </c>
      <c r="L154" s="147">
        <f t="shared" si="39"/>
        <v>0.108</v>
      </c>
      <c r="M154" s="147">
        <f t="shared" si="40"/>
        <v>3.7080000000000002</v>
      </c>
      <c r="N154" s="149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BN154" s="104"/>
      <c r="BO154" s="104"/>
      <c r="BP154" s="104"/>
      <c r="BQ154" s="104"/>
      <c r="BR154" s="104"/>
      <c r="BS154" s="104"/>
      <c r="BT154" s="104"/>
      <c r="BU154" s="104"/>
      <c r="BV154" s="104"/>
      <c r="BW154" s="104"/>
      <c r="BX154" s="104"/>
      <c r="BY154" s="104"/>
      <c r="BZ154" s="104"/>
      <c r="CA154" s="104"/>
      <c r="CB154" s="104"/>
      <c r="CC154" s="104"/>
      <c r="CD154" s="104"/>
      <c r="CE154" s="104"/>
      <c r="CF154" s="104"/>
      <c r="CG154" s="104"/>
      <c r="CH154" s="104"/>
      <c r="CI154" s="104"/>
      <c r="CJ154" s="104"/>
      <c r="CK154" s="104"/>
    </row>
    <row r="155" spans="1:89" s="101" customFormat="1">
      <c r="A155" s="160"/>
      <c r="B155" s="129">
        <v>146</v>
      </c>
      <c r="C155" s="106" t="s">
        <v>297</v>
      </c>
      <c r="D155" s="123" t="s">
        <v>83</v>
      </c>
      <c r="E155" s="204"/>
      <c r="F155" s="147">
        <v>900</v>
      </c>
      <c r="G155" s="147"/>
      <c r="H155" s="147">
        <v>0.03</v>
      </c>
      <c r="I155" s="205">
        <f>0.03*0.03</f>
        <v>8.9999999999999998E-4</v>
      </c>
      <c r="J155" s="147">
        <f t="shared" si="37"/>
        <v>0</v>
      </c>
      <c r="K155" s="147">
        <f t="shared" si="38"/>
        <v>27</v>
      </c>
      <c r="L155" s="147">
        <f t="shared" si="39"/>
        <v>0.80999999999999994</v>
      </c>
      <c r="M155" s="147">
        <f t="shared" si="40"/>
        <v>27.81</v>
      </c>
      <c r="N155" s="149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</row>
    <row r="156" spans="1:89" s="114" customFormat="1" ht="24">
      <c r="A156" s="159"/>
      <c r="B156" s="129">
        <v>147</v>
      </c>
      <c r="C156" s="142" t="s">
        <v>354</v>
      </c>
      <c r="D156" s="122" t="s">
        <v>6</v>
      </c>
      <c r="E156" s="207"/>
      <c r="F156" s="208">
        <f>105.9+F185</f>
        <v>257.14</v>
      </c>
      <c r="G156" s="208"/>
      <c r="H156" s="208"/>
      <c r="I156" s="208"/>
      <c r="J156" s="147">
        <f t="shared" ref="J156:J184" si="43">F156*G156</f>
        <v>0</v>
      </c>
      <c r="K156" s="147">
        <f t="shared" ref="K156:K184" si="44">F156*H156</f>
        <v>0</v>
      </c>
      <c r="L156" s="147">
        <f t="shared" ref="L156:L184" si="45">F156*I156</f>
        <v>0</v>
      </c>
      <c r="M156" s="147">
        <f t="shared" ref="M156:M184" si="46">J156+K156+L156</f>
        <v>0</v>
      </c>
      <c r="N156" s="133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8"/>
      <c r="BB156" s="108"/>
      <c r="BC156" s="108"/>
      <c r="BD156" s="108"/>
      <c r="BE156" s="108"/>
      <c r="BF156" s="108"/>
      <c r="BG156" s="108"/>
      <c r="BH156" s="108"/>
      <c r="BI156" s="108"/>
      <c r="BJ156" s="108"/>
      <c r="BK156" s="108"/>
      <c r="BL156" s="108"/>
      <c r="BM156" s="108"/>
      <c r="BN156" s="108"/>
      <c r="BO156" s="108"/>
      <c r="BP156" s="108"/>
      <c r="BQ156" s="108"/>
      <c r="BR156" s="108"/>
      <c r="BS156" s="108"/>
      <c r="BT156" s="108"/>
      <c r="BU156" s="108"/>
      <c r="BV156" s="108"/>
      <c r="BW156" s="108"/>
      <c r="BX156" s="108"/>
      <c r="BY156" s="108"/>
      <c r="BZ156" s="108"/>
      <c r="CA156" s="108"/>
      <c r="CB156" s="108"/>
      <c r="CC156" s="108"/>
      <c r="CD156" s="108"/>
      <c r="CE156" s="108"/>
      <c r="CF156" s="108"/>
      <c r="CG156" s="108"/>
      <c r="CH156" s="108"/>
      <c r="CI156" s="108"/>
      <c r="CJ156" s="108"/>
      <c r="CK156" s="108"/>
    </row>
    <row r="157" spans="1:89" s="136" customFormat="1">
      <c r="A157" s="164"/>
      <c r="B157" s="129">
        <v>148</v>
      </c>
      <c r="C157" s="136" t="s">
        <v>238</v>
      </c>
      <c r="D157" s="137" t="s">
        <v>6</v>
      </c>
      <c r="E157" s="209"/>
      <c r="F157" s="206">
        <f>(((3.6+6.5)*3)+(14.9*2)+5.7)*3.25</f>
        <v>213.85</v>
      </c>
      <c r="G157" s="206"/>
      <c r="H157" s="206"/>
      <c r="I157" s="206"/>
      <c r="J157" s="147">
        <f t="shared" si="43"/>
        <v>0</v>
      </c>
      <c r="K157" s="147">
        <f t="shared" si="44"/>
        <v>0</v>
      </c>
      <c r="L157" s="147">
        <f t="shared" si="45"/>
        <v>0</v>
      </c>
      <c r="M157" s="147">
        <f t="shared" si="46"/>
        <v>0</v>
      </c>
      <c r="N157" s="17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  <c r="BI157" s="169"/>
      <c r="BJ157" s="169"/>
      <c r="BK157" s="169"/>
      <c r="BL157" s="169"/>
      <c r="BM157" s="169"/>
      <c r="BN157" s="169"/>
      <c r="BO157" s="169"/>
      <c r="BP157" s="169"/>
      <c r="BQ157" s="169"/>
      <c r="BR157" s="169"/>
      <c r="BS157" s="169"/>
      <c r="BT157" s="169"/>
      <c r="BU157" s="169"/>
      <c r="BV157" s="169"/>
      <c r="BW157" s="169"/>
      <c r="BX157" s="169"/>
      <c r="BY157" s="169"/>
      <c r="BZ157" s="169"/>
      <c r="CA157" s="169"/>
      <c r="CB157" s="169"/>
      <c r="CC157" s="169"/>
      <c r="CD157" s="169"/>
      <c r="CE157" s="169"/>
      <c r="CF157" s="169"/>
      <c r="CG157" s="169"/>
      <c r="CH157" s="169"/>
      <c r="CI157" s="169"/>
      <c r="CJ157" s="169"/>
      <c r="CK157" s="169"/>
    </row>
    <row r="158" spans="1:89" s="101" customFormat="1">
      <c r="A158" s="160"/>
      <c r="B158" s="129">
        <v>149</v>
      </c>
      <c r="C158" s="101" t="s">
        <v>21</v>
      </c>
      <c r="D158" s="123" t="s">
        <v>13</v>
      </c>
      <c r="E158" s="204">
        <v>41</v>
      </c>
      <c r="F158" s="147">
        <f>((4.65*0.3*5.8)+(2.95*0.3*5.8))*2+(5.55*0.3*4.5)+(4.65*0.3*3.3)-(4.65*0.1*3.3)</f>
        <v>37.009499999999996</v>
      </c>
      <c r="G158" s="147">
        <v>11.5</v>
      </c>
      <c r="H158" s="147"/>
      <c r="I158" s="147">
        <f>G158*0.1</f>
        <v>1.1500000000000001</v>
      </c>
      <c r="J158" s="147">
        <f t="shared" si="43"/>
        <v>425.60924999999997</v>
      </c>
      <c r="K158" s="147">
        <f t="shared" si="44"/>
        <v>0</v>
      </c>
      <c r="L158" s="147">
        <f t="shared" si="45"/>
        <v>42.560924999999997</v>
      </c>
      <c r="M158" s="147">
        <f t="shared" si="46"/>
        <v>468.17017499999997</v>
      </c>
      <c r="N158" s="149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BN158" s="104"/>
      <c r="BO158" s="104"/>
      <c r="BP158" s="104"/>
      <c r="BQ158" s="104"/>
      <c r="BR158" s="104"/>
      <c r="BS158" s="104"/>
      <c r="BT158" s="104"/>
      <c r="BU158" s="104"/>
      <c r="BV158" s="104"/>
      <c r="BW158" s="104"/>
      <c r="BX158" s="104"/>
      <c r="BY158" s="104"/>
      <c r="BZ158" s="104"/>
      <c r="CA158" s="104"/>
      <c r="CB158" s="104"/>
      <c r="CC158" s="104"/>
      <c r="CD158" s="104"/>
      <c r="CE158" s="104"/>
      <c r="CF158" s="104"/>
      <c r="CG158" s="104"/>
      <c r="CH158" s="104"/>
      <c r="CI158" s="104"/>
      <c r="CJ158" s="104"/>
      <c r="CK158" s="104"/>
    </row>
    <row r="159" spans="1:89" s="101" customFormat="1">
      <c r="A159" s="160"/>
      <c r="B159" s="129">
        <v>150</v>
      </c>
      <c r="C159" s="110" t="s">
        <v>309</v>
      </c>
      <c r="D159" s="123" t="s">
        <v>13</v>
      </c>
      <c r="E159" s="204"/>
      <c r="F159" s="147">
        <v>10</v>
      </c>
      <c r="G159" s="147">
        <v>7</v>
      </c>
      <c r="H159" s="147"/>
      <c r="I159" s="147">
        <f>G159*0.1</f>
        <v>0.70000000000000007</v>
      </c>
      <c r="J159" s="147">
        <f t="shared" si="43"/>
        <v>70</v>
      </c>
      <c r="K159" s="147">
        <f t="shared" si="44"/>
        <v>0</v>
      </c>
      <c r="L159" s="147">
        <f t="shared" si="45"/>
        <v>7.0000000000000009</v>
      </c>
      <c r="M159" s="147">
        <f t="shared" si="46"/>
        <v>77</v>
      </c>
      <c r="N159" s="149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BN159" s="104"/>
      <c r="BO159" s="104"/>
      <c r="BP159" s="104"/>
      <c r="BQ159" s="104"/>
      <c r="BR159" s="104"/>
      <c r="BS159" s="104"/>
      <c r="BT159" s="104"/>
      <c r="BU159" s="104"/>
      <c r="BV159" s="104"/>
      <c r="BW159" s="104"/>
      <c r="BX159" s="104"/>
      <c r="BY159" s="104"/>
      <c r="BZ159" s="104"/>
      <c r="CA159" s="104"/>
      <c r="CB159" s="104"/>
      <c r="CC159" s="104"/>
      <c r="CD159" s="104"/>
      <c r="CE159" s="104"/>
      <c r="CF159" s="104"/>
      <c r="CG159" s="104"/>
      <c r="CH159" s="104"/>
      <c r="CI159" s="104"/>
      <c r="CJ159" s="104"/>
      <c r="CK159" s="104"/>
    </row>
    <row r="160" spans="1:89" s="116" customFormat="1">
      <c r="A160" s="162"/>
      <c r="B160" s="129">
        <v>151</v>
      </c>
      <c r="C160" s="106" t="s">
        <v>284</v>
      </c>
      <c r="D160" s="124" t="s">
        <v>13</v>
      </c>
      <c r="E160" s="210">
        <v>38</v>
      </c>
      <c r="F160" s="205">
        <f>4.65*0.25*3.3</f>
        <v>3.8362500000000002</v>
      </c>
      <c r="G160" s="205"/>
      <c r="H160" s="205">
        <v>33.799999999999997</v>
      </c>
      <c r="I160" s="205">
        <f>H160*0.03</f>
        <v>1.0139999999999998</v>
      </c>
      <c r="J160" s="147">
        <f t="shared" si="43"/>
        <v>0</v>
      </c>
      <c r="K160" s="147">
        <f t="shared" si="44"/>
        <v>129.66524999999999</v>
      </c>
      <c r="L160" s="147">
        <f t="shared" si="45"/>
        <v>3.8899574999999995</v>
      </c>
      <c r="M160" s="147">
        <f t="shared" si="46"/>
        <v>133.55520749999999</v>
      </c>
      <c r="N160" s="177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  <c r="CC160" s="113"/>
      <c r="CD160" s="113"/>
      <c r="CE160" s="113"/>
      <c r="CF160" s="113"/>
      <c r="CG160" s="113"/>
      <c r="CH160" s="113"/>
      <c r="CI160" s="113"/>
      <c r="CJ160" s="113"/>
      <c r="CK160" s="113"/>
    </row>
    <row r="161" spans="1:89" s="116" customFormat="1">
      <c r="A161" s="162"/>
      <c r="B161" s="129">
        <v>152</v>
      </c>
      <c r="C161" s="106" t="s">
        <v>283</v>
      </c>
      <c r="D161" s="124"/>
      <c r="E161" s="210"/>
      <c r="F161" s="205">
        <f>F158-F160</f>
        <v>33.173249999999996</v>
      </c>
      <c r="G161" s="205"/>
      <c r="H161" s="205">
        <v>33.799999999999997</v>
      </c>
      <c r="I161" s="205">
        <f>H161*0.03</f>
        <v>1.0139999999999998</v>
      </c>
      <c r="J161" s="147">
        <f t="shared" si="43"/>
        <v>0</v>
      </c>
      <c r="K161" s="147">
        <f t="shared" si="44"/>
        <v>1121.2558499999998</v>
      </c>
      <c r="L161" s="147">
        <f t="shared" si="45"/>
        <v>33.637675499999986</v>
      </c>
      <c r="M161" s="147">
        <f t="shared" si="46"/>
        <v>1154.8935254999997</v>
      </c>
      <c r="N161" s="177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  <c r="BZ161" s="113"/>
      <c r="CA161" s="113"/>
      <c r="CB161" s="113"/>
      <c r="CC161" s="113"/>
      <c r="CD161" s="113"/>
      <c r="CE161" s="113"/>
      <c r="CF161" s="113"/>
      <c r="CG161" s="113"/>
      <c r="CH161" s="113"/>
      <c r="CI161" s="113"/>
      <c r="CJ161" s="113"/>
      <c r="CK161" s="113"/>
    </row>
    <row r="162" spans="1:89" s="116" customFormat="1">
      <c r="A162" s="162"/>
      <c r="B162" s="129">
        <v>153</v>
      </c>
      <c r="C162" s="106" t="s">
        <v>50</v>
      </c>
      <c r="D162" s="124" t="s">
        <v>16</v>
      </c>
      <c r="E162" s="210">
        <v>1.8</v>
      </c>
      <c r="F162" s="205">
        <v>1.8</v>
      </c>
      <c r="G162" s="205"/>
      <c r="H162" s="205">
        <v>40</v>
      </c>
      <c r="I162" s="205">
        <f>H162*0.03</f>
        <v>1.2</v>
      </c>
      <c r="J162" s="147">
        <f t="shared" si="43"/>
        <v>0</v>
      </c>
      <c r="K162" s="147">
        <f t="shared" si="44"/>
        <v>72</v>
      </c>
      <c r="L162" s="147">
        <f t="shared" si="45"/>
        <v>2.16</v>
      </c>
      <c r="M162" s="147">
        <f t="shared" si="46"/>
        <v>74.16</v>
      </c>
      <c r="N162" s="177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  <c r="CC162" s="113"/>
      <c r="CD162" s="113"/>
      <c r="CE162" s="113"/>
      <c r="CF162" s="113"/>
      <c r="CG162" s="113"/>
      <c r="CH162" s="113"/>
      <c r="CI162" s="113"/>
      <c r="CJ162" s="113"/>
      <c r="CK162" s="113"/>
    </row>
    <row r="163" spans="1:89" s="116" customFormat="1">
      <c r="A163" s="162"/>
      <c r="B163" s="129">
        <v>154</v>
      </c>
      <c r="C163" s="106" t="s">
        <v>51</v>
      </c>
      <c r="D163" s="124" t="s">
        <v>13</v>
      </c>
      <c r="E163" s="210">
        <v>10</v>
      </c>
      <c r="F163" s="205">
        <v>10</v>
      </c>
      <c r="G163" s="205"/>
      <c r="H163" s="205">
        <v>4.8</v>
      </c>
      <c r="I163" s="205">
        <f>H163*0.03</f>
        <v>0.14399999999999999</v>
      </c>
      <c r="J163" s="147">
        <f t="shared" si="43"/>
        <v>0</v>
      </c>
      <c r="K163" s="147">
        <f t="shared" si="44"/>
        <v>48</v>
      </c>
      <c r="L163" s="147">
        <f t="shared" si="45"/>
        <v>1.44</v>
      </c>
      <c r="M163" s="147">
        <f t="shared" si="46"/>
        <v>49.44</v>
      </c>
      <c r="N163" s="177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13"/>
      <c r="BM163" s="113"/>
      <c r="BN163" s="113"/>
      <c r="BO163" s="113"/>
      <c r="BP163" s="113"/>
      <c r="BQ163" s="113"/>
      <c r="BR163" s="113"/>
      <c r="BS163" s="113"/>
      <c r="BT163" s="113"/>
      <c r="BU163" s="113"/>
      <c r="BV163" s="113"/>
      <c r="BW163" s="113"/>
      <c r="BX163" s="113"/>
      <c r="BY163" s="113"/>
      <c r="BZ163" s="113"/>
      <c r="CA163" s="113"/>
      <c r="CB163" s="113"/>
      <c r="CC163" s="113"/>
      <c r="CD163" s="113"/>
      <c r="CE163" s="113"/>
      <c r="CF163" s="113"/>
      <c r="CG163" s="113"/>
      <c r="CH163" s="113"/>
      <c r="CI163" s="113"/>
      <c r="CJ163" s="113"/>
      <c r="CK163" s="113"/>
    </row>
    <row r="164" spans="1:89" s="144" customFormat="1" ht="24">
      <c r="A164" s="163"/>
      <c r="B164" s="129">
        <v>155</v>
      </c>
      <c r="C164" s="134" t="s">
        <v>419</v>
      </c>
      <c r="D164" s="123"/>
      <c r="E164" s="204"/>
      <c r="F164" s="147"/>
      <c r="G164" s="147"/>
      <c r="H164" s="147"/>
      <c r="I164" s="147"/>
      <c r="J164" s="147">
        <f t="shared" si="43"/>
        <v>0</v>
      </c>
      <c r="K164" s="147">
        <f t="shared" si="44"/>
        <v>0</v>
      </c>
      <c r="L164" s="147">
        <f t="shared" si="45"/>
        <v>0</v>
      </c>
      <c r="M164" s="147">
        <f t="shared" si="46"/>
        <v>0</v>
      </c>
    </row>
    <row r="165" spans="1:89" s="109" customFormat="1" ht="25.5" customHeight="1">
      <c r="A165" s="163"/>
      <c r="B165" s="129">
        <v>156</v>
      </c>
      <c r="C165" s="111" t="s">
        <v>313</v>
      </c>
      <c r="D165" s="123" t="s">
        <v>273</v>
      </c>
      <c r="E165" s="204"/>
      <c r="F165" s="147">
        <f>3.6+6.5+3.2+3.6+4.3+4.3+5.5+5.5+4.3</f>
        <v>40.799999999999997</v>
      </c>
      <c r="G165" s="147">
        <v>1.6</v>
      </c>
      <c r="H165" s="147">
        <v>0.25</v>
      </c>
      <c r="I165" s="147">
        <f>G165*0.1</f>
        <v>0.16000000000000003</v>
      </c>
      <c r="J165" s="147">
        <f t="shared" si="43"/>
        <v>65.28</v>
      </c>
      <c r="K165" s="147">
        <f t="shared" si="44"/>
        <v>10.199999999999999</v>
      </c>
      <c r="L165" s="147">
        <f t="shared" si="45"/>
        <v>6.5280000000000005</v>
      </c>
      <c r="M165" s="147">
        <f t="shared" si="46"/>
        <v>82.00800000000001</v>
      </c>
      <c r="N165" s="178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  <c r="BI165" s="144"/>
      <c r="BJ165" s="144"/>
      <c r="BK165" s="144"/>
      <c r="BL165" s="144"/>
      <c r="BM165" s="144"/>
      <c r="BN165" s="144"/>
      <c r="BO165" s="144"/>
      <c r="BP165" s="144"/>
      <c r="BQ165" s="144"/>
      <c r="BR165" s="144"/>
      <c r="BS165" s="144"/>
      <c r="BT165" s="144"/>
      <c r="BU165" s="144"/>
      <c r="BV165" s="144"/>
      <c r="BW165" s="144"/>
      <c r="BX165" s="144"/>
      <c r="BY165" s="144"/>
      <c r="BZ165" s="144"/>
      <c r="CA165" s="144"/>
      <c r="CB165" s="144"/>
      <c r="CC165" s="144"/>
      <c r="CD165" s="144"/>
      <c r="CE165" s="144"/>
      <c r="CF165" s="144"/>
      <c r="CG165" s="144"/>
      <c r="CH165" s="144"/>
      <c r="CI165" s="144"/>
      <c r="CJ165" s="144"/>
      <c r="CK165" s="144"/>
    </row>
    <row r="166" spans="1:89" s="101" customFormat="1">
      <c r="A166" s="160"/>
      <c r="B166" s="129">
        <v>157</v>
      </c>
      <c r="C166" s="106"/>
      <c r="D166" s="123"/>
      <c r="E166" s="204"/>
      <c r="F166" s="147"/>
      <c r="G166" s="147"/>
      <c r="H166" s="147"/>
      <c r="I166" s="205">
        <f>H166*0.03</f>
        <v>0</v>
      </c>
      <c r="J166" s="147">
        <f t="shared" si="43"/>
        <v>0</v>
      </c>
      <c r="K166" s="147">
        <f t="shared" si="44"/>
        <v>0</v>
      </c>
      <c r="L166" s="147">
        <f t="shared" si="45"/>
        <v>0</v>
      </c>
      <c r="M166" s="147">
        <f t="shared" si="46"/>
        <v>0</v>
      </c>
      <c r="N166" s="149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BN166" s="104"/>
      <c r="BO166" s="104"/>
      <c r="BP166" s="104"/>
      <c r="BQ166" s="104"/>
      <c r="BR166" s="104"/>
      <c r="BS166" s="104"/>
      <c r="BT166" s="104"/>
      <c r="BU166" s="104"/>
      <c r="BV166" s="104"/>
      <c r="BW166" s="104"/>
      <c r="BX166" s="104"/>
      <c r="BY166" s="104"/>
      <c r="BZ166" s="104"/>
      <c r="CA166" s="104"/>
      <c r="CB166" s="104"/>
      <c r="CC166" s="104"/>
      <c r="CD166" s="104"/>
      <c r="CE166" s="104"/>
      <c r="CF166" s="104"/>
      <c r="CG166" s="104"/>
      <c r="CH166" s="104"/>
      <c r="CI166" s="104"/>
      <c r="CJ166" s="104"/>
      <c r="CK166" s="104"/>
    </row>
    <row r="167" spans="1:89">
      <c r="A167" s="160"/>
      <c r="B167" s="129">
        <v>158</v>
      </c>
      <c r="C167" s="110" t="s">
        <v>35</v>
      </c>
      <c r="D167" s="123" t="s">
        <v>6</v>
      </c>
      <c r="E167" s="204">
        <v>150</v>
      </c>
      <c r="F167" s="147">
        <v>93.1</v>
      </c>
      <c r="G167" s="147">
        <v>1.75</v>
      </c>
      <c r="H167" s="147">
        <v>0.05</v>
      </c>
      <c r="I167" s="147">
        <f>G167*0.1</f>
        <v>0.17500000000000002</v>
      </c>
      <c r="J167" s="147">
        <f t="shared" si="43"/>
        <v>162.92499999999998</v>
      </c>
      <c r="K167" s="147">
        <f t="shared" si="44"/>
        <v>4.6550000000000002</v>
      </c>
      <c r="L167" s="147">
        <f t="shared" si="45"/>
        <v>16.2925</v>
      </c>
      <c r="M167" s="147">
        <f t="shared" si="46"/>
        <v>183.87249999999997</v>
      </c>
      <c r="CD167" s="104"/>
      <c r="CE167" s="104"/>
      <c r="CF167" s="104"/>
      <c r="CG167" s="104"/>
      <c r="CH167" s="104"/>
      <c r="CI167" s="104"/>
      <c r="CJ167" s="104"/>
      <c r="CK167" s="104"/>
    </row>
    <row r="168" spans="1:89" s="112" customFormat="1">
      <c r="A168" s="162"/>
      <c r="B168" s="129">
        <v>159</v>
      </c>
      <c r="C168" s="106" t="s">
        <v>27</v>
      </c>
      <c r="D168" s="124" t="s">
        <v>13</v>
      </c>
      <c r="E168" s="210">
        <v>2.2000000000000002</v>
      </c>
      <c r="F168" s="205">
        <v>5</v>
      </c>
      <c r="G168" s="205"/>
      <c r="H168" s="205">
        <v>79</v>
      </c>
      <c r="I168" s="205">
        <f>H168*0.03</f>
        <v>2.37</v>
      </c>
      <c r="J168" s="147">
        <f t="shared" si="43"/>
        <v>0</v>
      </c>
      <c r="K168" s="147">
        <f t="shared" si="44"/>
        <v>395</v>
      </c>
      <c r="L168" s="147">
        <f t="shared" si="45"/>
        <v>11.850000000000001</v>
      </c>
      <c r="M168" s="147">
        <f t="shared" si="46"/>
        <v>406.85</v>
      </c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  <c r="BZ168" s="113"/>
      <c r="CA168" s="113"/>
      <c r="CB168" s="113"/>
      <c r="CC168" s="113"/>
      <c r="CD168" s="113"/>
      <c r="CE168" s="113"/>
      <c r="CF168" s="113"/>
      <c r="CG168" s="113"/>
      <c r="CH168" s="113"/>
      <c r="CI168" s="113"/>
      <c r="CJ168" s="113"/>
      <c r="CK168" s="113"/>
    </row>
    <row r="169" spans="1:89" s="112" customFormat="1">
      <c r="A169" s="162"/>
      <c r="B169" s="129">
        <v>160</v>
      </c>
      <c r="C169" s="106" t="s">
        <v>36</v>
      </c>
      <c r="D169" s="124" t="s">
        <v>11</v>
      </c>
      <c r="E169" s="210">
        <v>250</v>
      </c>
      <c r="F169" s="205">
        <v>155</v>
      </c>
      <c r="G169" s="205"/>
      <c r="H169" s="205">
        <v>0.44</v>
      </c>
      <c r="I169" s="205">
        <f>H169*0.03</f>
        <v>1.32E-2</v>
      </c>
      <c r="J169" s="147">
        <f t="shared" si="43"/>
        <v>0</v>
      </c>
      <c r="K169" s="147">
        <f t="shared" si="44"/>
        <v>68.2</v>
      </c>
      <c r="L169" s="147">
        <f t="shared" si="45"/>
        <v>2.0459999999999998</v>
      </c>
      <c r="M169" s="147">
        <f t="shared" si="46"/>
        <v>70.246000000000009</v>
      </c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3"/>
      <c r="CA169" s="113"/>
      <c r="CB169" s="113"/>
      <c r="CC169" s="113"/>
      <c r="CD169" s="113"/>
      <c r="CE169" s="113"/>
      <c r="CF169" s="113"/>
      <c r="CG169" s="113"/>
      <c r="CH169" s="113"/>
      <c r="CI169" s="113"/>
      <c r="CJ169" s="113"/>
      <c r="CK169" s="113"/>
    </row>
    <row r="170" spans="1:89" s="112" customFormat="1">
      <c r="A170" s="162"/>
      <c r="B170" s="129">
        <v>161</v>
      </c>
      <c r="C170" s="106" t="s">
        <v>492</v>
      </c>
      <c r="D170" s="124" t="s">
        <v>13</v>
      </c>
      <c r="E170" s="210"/>
      <c r="F170" s="205">
        <v>0.6</v>
      </c>
      <c r="G170" s="205">
        <v>132</v>
      </c>
      <c r="H170" s="205">
        <v>79</v>
      </c>
      <c r="I170" s="205">
        <f>H170*0.03</f>
        <v>2.37</v>
      </c>
      <c r="J170" s="147">
        <f t="shared" si="43"/>
        <v>79.2</v>
      </c>
      <c r="K170" s="147">
        <f t="shared" si="44"/>
        <v>47.4</v>
      </c>
      <c r="L170" s="147">
        <f t="shared" si="45"/>
        <v>1.4219999999999999</v>
      </c>
      <c r="M170" s="147">
        <f t="shared" si="46"/>
        <v>128.02199999999999</v>
      </c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3"/>
      <c r="CA170" s="113"/>
      <c r="CB170" s="113"/>
      <c r="CC170" s="113"/>
      <c r="CD170" s="113"/>
      <c r="CE170" s="113"/>
      <c r="CF170" s="113"/>
      <c r="CG170" s="113"/>
      <c r="CH170" s="113"/>
      <c r="CI170" s="113"/>
      <c r="CJ170" s="113"/>
      <c r="CK170" s="113"/>
    </row>
    <row r="171" spans="1:89">
      <c r="A171" s="160"/>
      <c r="B171" s="129">
        <v>162</v>
      </c>
      <c r="C171" s="110" t="s">
        <v>37</v>
      </c>
      <c r="D171" s="123" t="s">
        <v>6</v>
      </c>
      <c r="E171" s="204">
        <v>150</v>
      </c>
      <c r="F171" s="205">
        <v>186.2</v>
      </c>
      <c r="G171" s="147">
        <v>3.5</v>
      </c>
      <c r="H171" s="147"/>
      <c r="I171" s="147">
        <f>G171*0.1</f>
        <v>0.35000000000000003</v>
      </c>
      <c r="J171" s="147">
        <f t="shared" si="43"/>
        <v>651.69999999999993</v>
      </c>
      <c r="K171" s="147">
        <f t="shared" si="44"/>
        <v>0</v>
      </c>
      <c r="L171" s="147">
        <f t="shared" si="45"/>
        <v>65.17</v>
      </c>
      <c r="M171" s="147">
        <f t="shared" si="46"/>
        <v>716.86999999999989</v>
      </c>
      <c r="CD171" s="104"/>
      <c r="CE171" s="104"/>
      <c r="CF171" s="104"/>
      <c r="CG171" s="104"/>
      <c r="CH171" s="104"/>
      <c r="CI171" s="104"/>
      <c r="CJ171" s="104"/>
      <c r="CK171" s="104"/>
    </row>
    <row r="172" spans="1:89" s="112" customFormat="1">
      <c r="A172" s="162"/>
      <c r="B172" s="129">
        <v>163</v>
      </c>
      <c r="C172" s="106" t="s">
        <v>134</v>
      </c>
      <c r="D172" s="124" t="s">
        <v>6</v>
      </c>
      <c r="E172" s="210">
        <v>130</v>
      </c>
      <c r="F172" s="205">
        <v>85</v>
      </c>
      <c r="G172" s="205"/>
      <c r="H172" s="205">
        <v>2.46</v>
      </c>
      <c r="I172" s="205">
        <f>H172*0.03</f>
        <v>7.3799999999999991E-2</v>
      </c>
      <c r="J172" s="147">
        <f t="shared" si="43"/>
        <v>0</v>
      </c>
      <c r="K172" s="147">
        <f t="shared" si="44"/>
        <v>209.1</v>
      </c>
      <c r="L172" s="147">
        <f t="shared" si="45"/>
        <v>6.2729999999999988</v>
      </c>
      <c r="M172" s="147">
        <f t="shared" si="46"/>
        <v>215.37299999999999</v>
      </c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3"/>
      <c r="BM172" s="113"/>
      <c r="BN172" s="113"/>
      <c r="BO172" s="113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3"/>
      <c r="CA172" s="113"/>
      <c r="CB172" s="113"/>
      <c r="CC172" s="113"/>
      <c r="CD172" s="113"/>
      <c r="CE172" s="113"/>
      <c r="CF172" s="113"/>
      <c r="CG172" s="113"/>
      <c r="CH172" s="113"/>
      <c r="CI172" s="113"/>
      <c r="CJ172" s="113"/>
      <c r="CK172" s="113"/>
    </row>
    <row r="173" spans="1:89" s="112" customFormat="1">
      <c r="A173" s="162"/>
      <c r="B173" s="129">
        <v>164</v>
      </c>
      <c r="C173" s="106" t="s">
        <v>28</v>
      </c>
      <c r="D173" s="124" t="s">
        <v>13</v>
      </c>
      <c r="E173" s="210">
        <v>20</v>
      </c>
      <c r="F173" s="205">
        <f>F167*0.135</f>
        <v>12.5685</v>
      </c>
      <c r="G173" s="205"/>
      <c r="H173" s="205">
        <v>24</v>
      </c>
      <c r="I173" s="205">
        <f>H173*0.03</f>
        <v>0.72</v>
      </c>
      <c r="J173" s="147">
        <f t="shared" si="43"/>
        <v>0</v>
      </c>
      <c r="K173" s="147">
        <f t="shared" si="44"/>
        <v>301.64400000000001</v>
      </c>
      <c r="L173" s="147">
        <f t="shared" si="45"/>
        <v>9.0493199999999998</v>
      </c>
      <c r="M173" s="147">
        <f t="shared" si="46"/>
        <v>310.69332000000003</v>
      </c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3"/>
      <c r="CA173" s="113"/>
      <c r="CB173" s="113"/>
      <c r="CC173" s="113"/>
      <c r="CD173" s="113"/>
      <c r="CE173" s="113"/>
      <c r="CF173" s="113"/>
      <c r="CG173" s="113"/>
      <c r="CH173" s="113"/>
      <c r="CI173" s="113"/>
      <c r="CJ173" s="113"/>
      <c r="CK173" s="113"/>
    </row>
    <row r="174" spans="1:89" s="112" customFormat="1">
      <c r="A174" s="162"/>
      <c r="B174" s="129">
        <v>165</v>
      </c>
      <c r="C174" s="106" t="s">
        <v>29</v>
      </c>
      <c r="D174" s="124" t="s">
        <v>6</v>
      </c>
      <c r="E174" s="210">
        <v>130</v>
      </c>
      <c r="F174" s="205">
        <f>F167*2</f>
        <v>186.2</v>
      </c>
      <c r="G174" s="205">
        <v>0.03</v>
      </c>
      <c r="H174" s="205">
        <v>0.1</v>
      </c>
      <c r="I174" s="205">
        <f>H174*0.03</f>
        <v>3.0000000000000001E-3</v>
      </c>
      <c r="J174" s="147">
        <f t="shared" si="43"/>
        <v>5.5859999999999994</v>
      </c>
      <c r="K174" s="147">
        <f t="shared" si="44"/>
        <v>18.62</v>
      </c>
      <c r="L174" s="147">
        <f t="shared" si="45"/>
        <v>0.55859999999999999</v>
      </c>
      <c r="M174" s="147">
        <f t="shared" si="46"/>
        <v>24.764599999999998</v>
      </c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3"/>
      <c r="CA174" s="113"/>
      <c r="CB174" s="113"/>
      <c r="CC174" s="113"/>
      <c r="CD174" s="113"/>
      <c r="CE174" s="113"/>
      <c r="CF174" s="113"/>
      <c r="CG174" s="113"/>
      <c r="CH174" s="113"/>
      <c r="CI174" s="113"/>
      <c r="CJ174" s="113"/>
      <c r="CK174" s="113"/>
    </row>
    <row r="175" spans="1:89" s="112" customFormat="1">
      <c r="A175" s="162"/>
      <c r="B175" s="129">
        <v>166</v>
      </c>
      <c r="C175" s="106" t="s">
        <v>38</v>
      </c>
      <c r="D175" s="124" t="s">
        <v>6</v>
      </c>
      <c r="E175" s="210">
        <v>300</v>
      </c>
      <c r="F175" s="205">
        <f>F167*2</f>
        <v>186.2</v>
      </c>
      <c r="G175" s="205"/>
      <c r="H175" s="205">
        <v>0.89</v>
      </c>
      <c r="I175" s="205">
        <f>H175*0.03</f>
        <v>2.6699999999999998E-2</v>
      </c>
      <c r="J175" s="147">
        <f t="shared" si="43"/>
        <v>0</v>
      </c>
      <c r="K175" s="147">
        <f t="shared" si="44"/>
        <v>165.71799999999999</v>
      </c>
      <c r="L175" s="147">
        <f t="shared" si="45"/>
        <v>4.9715399999999992</v>
      </c>
      <c r="M175" s="147">
        <f t="shared" si="46"/>
        <v>170.68953999999999</v>
      </c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  <c r="BZ175" s="113"/>
      <c r="CA175" s="113"/>
      <c r="CB175" s="113"/>
      <c r="CC175" s="113"/>
      <c r="CD175" s="113"/>
      <c r="CE175" s="113"/>
      <c r="CF175" s="113"/>
      <c r="CG175" s="113"/>
      <c r="CH175" s="113"/>
      <c r="CI175" s="113"/>
      <c r="CJ175" s="113"/>
      <c r="CK175" s="113"/>
    </row>
    <row r="176" spans="1:89" s="112" customFormat="1">
      <c r="A176" s="162"/>
      <c r="B176" s="129">
        <v>167</v>
      </c>
      <c r="C176" s="106" t="s">
        <v>39</v>
      </c>
      <c r="D176" s="124" t="s">
        <v>142</v>
      </c>
      <c r="E176" s="210">
        <v>6</v>
      </c>
      <c r="F176" s="205">
        <v>4</v>
      </c>
      <c r="G176" s="205"/>
      <c r="H176" s="205">
        <v>9.8000000000000007</v>
      </c>
      <c r="I176" s="205">
        <f>H176*0.03</f>
        <v>0.29399999999999998</v>
      </c>
      <c r="J176" s="147">
        <f t="shared" si="43"/>
        <v>0</v>
      </c>
      <c r="K176" s="147">
        <f t="shared" si="44"/>
        <v>39.200000000000003</v>
      </c>
      <c r="L176" s="147">
        <f t="shared" si="45"/>
        <v>1.1759999999999999</v>
      </c>
      <c r="M176" s="147">
        <f t="shared" si="46"/>
        <v>40.376000000000005</v>
      </c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  <c r="BZ176" s="113"/>
      <c r="CA176" s="113"/>
      <c r="CB176" s="113"/>
      <c r="CC176" s="113"/>
      <c r="CD176" s="113"/>
      <c r="CE176" s="113"/>
      <c r="CF176" s="113"/>
      <c r="CG176" s="113"/>
      <c r="CH176" s="113"/>
      <c r="CI176" s="113"/>
      <c r="CJ176" s="113"/>
      <c r="CK176" s="113"/>
    </row>
    <row r="177" spans="1:89" s="109" customFormat="1">
      <c r="A177" s="163"/>
      <c r="B177" s="129">
        <v>168</v>
      </c>
      <c r="C177" s="132" t="s">
        <v>304</v>
      </c>
      <c r="D177" s="123" t="s">
        <v>273</v>
      </c>
      <c r="E177" s="204"/>
      <c r="F177" s="147">
        <v>34</v>
      </c>
      <c r="G177" s="147"/>
      <c r="H177" s="147"/>
      <c r="I177" s="147"/>
      <c r="J177" s="147">
        <f t="shared" si="43"/>
        <v>0</v>
      </c>
      <c r="K177" s="147">
        <f t="shared" si="44"/>
        <v>0</v>
      </c>
      <c r="L177" s="147">
        <f t="shared" si="45"/>
        <v>0</v>
      </c>
      <c r="M177" s="147">
        <f t="shared" si="46"/>
        <v>0</v>
      </c>
      <c r="N177" s="178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  <c r="AY177" s="144"/>
      <c r="AZ177" s="144"/>
      <c r="BA177" s="144"/>
      <c r="BB177" s="144"/>
      <c r="BC177" s="144"/>
      <c r="BD177" s="144"/>
      <c r="BE177" s="144"/>
      <c r="BF177" s="144"/>
      <c r="BG177" s="144"/>
      <c r="BH177" s="144"/>
      <c r="BI177" s="144"/>
      <c r="BJ177" s="144"/>
      <c r="BK177" s="144"/>
      <c r="BL177" s="144"/>
      <c r="BM177" s="144"/>
      <c r="BN177" s="144"/>
      <c r="BO177" s="144"/>
      <c r="BP177" s="144"/>
      <c r="BQ177" s="144"/>
      <c r="BR177" s="144"/>
      <c r="BS177" s="144"/>
      <c r="BT177" s="144"/>
      <c r="BU177" s="144"/>
      <c r="BV177" s="144"/>
      <c r="BW177" s="144"/>
      <c r="BX177" s="144"/>
      <c r="BY177" s="144"/>
      <c r="BZ177" s="144"/>
      <c r="CA177" s="144"/>
      <c r="CB177" s="144"/>
      <c r="CC177" s="144"/>
      <c r="CD177" s="144"/>
      <c r="CE177" s="144"/>
      <c r="CF177" s="144"/>
      <c r="CG177" s="144"/>
      <c r="CH177" s="144"/>
      <c r="CI177" s="144"/>
      <c r="CJ177" s="144"/>
      <c r="CK177" s="144"/>
    </row>
    <row r="178" spans="1:89" ht="24">
      <c r="A178" s="160"/>
      <c r="B178" s="129">
        <v>169</v>
      </c>
      <c r="C178" s="111" t="s">
        <v>312</v>
      </c>
      <c r="D178" s="124" t="s">
        <v>11</v>
      </c>
      <c r="E178" s="204"/>
      <c r="F178" s="147">
        <v>12</v>
      </c>
      <c r="G178" s="147">
        <v>1.65</v>
      </c>
      <c r="H178" s="147">
        <v>2.5</v>
      </c>
      <c r="I178" s="147">
        <f>G178*0.1</f>
        <v>0.16500000000000001</v>
      </c>
      <c r="J178" s="147">
        <f t="shared" si="43"/>
        <v>19.799999999999997</v>
      </c>
      <c r="K178" s="147">
        <f t="shared" si="44"/>
        <v>30</v>
      </c>
      <c r="L178" s="147">
        <f t="shared" si="45"/>
        <v>1.98</v>
      </c>
      <c r="M178" s="147">
        <f t="shared" si="46"/>
        <v>51.779999999999994</v>
      </c>
      <c r="CD178" s="104"/>
      <c r="CE178" s="104"/>
      <c r="CF178" s="104"/>
      <c r="CG178" s="104"/>
      <c r="CH178" s="104"/>
      <c r="CI178" s="104"/>
      <c r="CJ178" s="104"/>
      <c r="CK178" s="104"/>
    </row>
    <row r="179" spans="1:89" s="109" customFormat="1">
      <c r="A179" s="163"/>
      <c r="B179" s="129">
        <v>170</v>
      </c>
      <c r="C179" s="110" t="s">
        <v>270</v>
      </c>
      <c r="D179" s="123" t="s">
        <v>6</v>
      </c>
      <c r="E179" s="204"/>
      <c r="F179" s="147">
        <f>F177*2*0.3</f>
        <v>20.399999999999999</v>
      </c>
      <c r="G179" s="147">
        <v>1.25</v>
      </c>
      <c r="H179" s="147">
        <v>1.3</v>
      </c>
      <c r="I179" s="147">
        <f>G179*0.1</f>
        <v>0.125</v>
      </c>
      <c r="J179" s="147">
        <f t="shared" si="43"/>
        <v>25.5</v>
      </c>
      <c r="K179" s="147">
        <f t="shared" si="44"/>
        <v>26.52</v>
      </c>
      <c r="L179" s="147">
        <f t="shared" si="45"/>
        <v>2.5499999999999998</v>
      </c>
      <c r="M179" s="147">
        <f t="shared" si="46"/>
        <v>54.569999999999993</v>
      </c>
      <c r="N179" s="178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  <c r="BI179" s="144"/>
      <c r="BJ179" s="144"/>
      <c r="BK179" s="144"/>
      <c r="BL179" s="144"/>
      <c r="BM179" s="144"/>
      <c r="BN179" s="144"/>
      <c r="BO179" s="144"/>
      <c r="BP179" s="144"/>
      <c r="BQ179" s="144"/>
      <c r="BR179" s="144"/>
      <c r="BS179" s="144"/>
      <c r="BT179" s="144"/>
      <c r="BU179" s="144"/>
      <c r="BV179" s="144"/>
      <c r="BW179" s="144"/>
      <c r="BX179" s="144"/>
      <c r="BY179" s="144"/>
      <c r="BZ179" s="144"/>
      <c r="CA179" s="144"/>
      <c r="CB179" s="144"/>
      <c r="CC179" s="144"/>
      <c r="CD179" s="144"/>
      <c r="CE179" s="144"/>
      <c r="CF179" s="144"/>
      <c r="CG179" s="144"/>
      <c r="CH179" s="144"/>
      <c r="CI179" s="144"/>
      <c r="CJ179" s="144"/>
      <c r="CK179" s="144"/>
    </row>
    <row r="180" spans="1:89" s="109" customFormat="1">
      <c r="A180" s="163"/>
      <c r="B180" s="129">
        <v>171</v>
      </c>
      <c r="C180" s="110" t="s">
        <v>15</v>
      </c>
      <c r="D180" s="123" t="s">
        <v>16</v>
      </c>
      <c r="E180" s="204"/>
      <c r="F180" s="147">
        <v>0.23499999999999999</v>
      </c>
      <c r="G180" s="147">
        <v>55</v>
      </c>
      <c r="H180" s="147">
        <v>4.2</v>
      </c>
      <c r="I180" s="147">
        <f>G180*0.1</f>
        <v>5.5</v>
      </c>
      <c r="J180" s="147">
        <f t="shared" si="43"/>
        <v>12.924999999999999</v>
      </c>
      <c r="K180" s="147">
        <f t="shared" si="44"/>
        <v>0.98699999999999999</v>
      </c>
      <c r="L180" s="147">
        <f t="shared" si="45"/>
        <v>1.2925</v>
      </c>
      <c r="M180" s="147">
        <f t="shared" si="46"/>
        <v>15.204499999999999</v>
      </c>
      <c r="N180" s="178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  <c r="AY180" s="144"/>
      <c r="AZ180" s="144"/>
      <c r="BA180" s="144"/>
      <c r="BB180" s="144"/>
      <c r="BC180" s="144"/>
      <c r="BD180" s="144"/>
      <c r="BE180" s="144"/>
      <c r="BF180" s="144"/>
      <c r="BG180" s="144"/>
      <c r="BH180" s="144"/>
      <c r="BI180" s="144"/>
      <c r="BJ180" s="144"/>
      <c r="BK180" s="144"/>
      <c r="BL180" s="144"/>
      <c r="BM180" s="144"/>
      <c r="BN180" s="144"/>
      <c r="BO180" s="144"/>
      <c r="BP180" s="144"/>
      <c r="BQ180" s="144"/>
      <c r="BR180" s="144"/>
      <c r="BS180" s="144"/>
      <c r="BT180" s="144"/>
      <c r="BU180" s="144"/>
      <c r="BV180" s="144"/>
      <c r="BW180" s="144"/>
      <c r="BX180" s="144"/>
      <c r="BY180" s="144"/>
      <c r="BZ180" s="144"/>
      <c r="CA180" s="144"/>
      <c r="CB180" s="144"/>
      <c r="CC180" s="144"/>
      <c r="CD180" s="144"/>
      <c r="CE180" s="144"/>
      <c r="CF180" s="144"/>
      <c r="CG180" s="144"/>
      <c r="CH180" s="144"/>
      <c r="CI180" s="144"/>
      <c r="CJ180" s="144"/>
      <c r="CK180" s="144"/>
    </row>
    <row r="181" spans="1:89" s="109" customFormat="1">
      <c r="A181" s="163"/>
      <c r="B181" s="129">
        <v>172</v>
      </c>
      <c r="C181" s="110" t="s">
        <v>18</v>
      </c>
      <c r="D181" s="123" t="s">
        <v>13</v>
      </c>
      <c r="E181" s="204"/>
      <c r="F181" s="147">
        <f>F177*0.3*0.3*1.05</f>
        <v>3.2129999999999996</v>
      </c>
      <c r="G181" s="147">
        <v>4.8499999999999996</v>
      </c>
      <c r="H181" s="147"/>
      <c r="I181" s="147">
        <f>G181*0.1</f>
        <v>0.48499999999999999</v>
      </c>
      <c r="J181" s="147">
        <f t="shared" si="43"/>
        <v>15.583049999999997</v>
      </c>
      <c r="K181" s="147">
        <f t="shared" si="44"/>
        <v>0</v>
      </c>
      <c r="L181" s="147">
        <f t="shared" si="45"/>
        <v>1.5583049999999998</v>
      </c>
      <c r="M181" s="147">
        <f t="shared" si="46"/>
        <v>17.141354999999997</v>
      </c>
      <c r="N181" s="178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  <c r="BI181" s="144"/>
      <c r="BJ181" s="144"/>
      <c r="BK181" s="144"/>
      <c r="BL181" s="144"/>
      <c r="BM181" s="144"/>
      <c r="BN181" s="144"/>
      <c r="BO181" s="144"/>
      <c r="BP181" s="144"/>
      <c r="BQ181" s="144"/>
      <c r="BR181" s="144"/>
      <c r="BS181" s="144"/>
      <c r="BT181" s="144"/>
      <c r="BU181" s="144"/>
      <c r="BV181" s="144"/>
      <c r="BW181" s="144"/>
      <c r="BX181" s="144"/>
      <c r="BY181" s="144"/>
      <c r="BZ181" s="144"/>
      <c r="CA181" s="144"/>
      <c r="CB181" s="144"/>
      <c r="CC181" s="144"/>
      <c r="CD181" s="144"/>
      <c r="CE181" s="144"/>
      <c r="CF181" s="144"/>
      <c r="CG181" s="144"/>
      <c r="CH181" s="144"/>
      <c r="CI181" s="144"/>
      <c r="CJ181" s="144"/>
      <c r="CK181" s="144"/>
    </row>
    <row r="182" spans="1:89" s="116" customFormat="1">
      <c r="A182" s="162"/>
      <c r="B182" s="129">
        <v>173</v>
      </c>
      <c r="C182" s="106" t="s">
        <v>305</v>
      </c>
      <c r="D182" s="124" t="s">
        <v>13</v>
      </c>
      <c r="E182" s="210"/>
      <c r="F182" s="205">
        <f>F179*0.04*0.5</f>
        <v>0.40799999999999997</v>
      </c>
      <c r="G182" s="205"/>
      <c r="H182" s="205">
        <v>79</v>
      </c>
      <c r="I182" s="205">
        <f>H182*0.03</f>
        <v>2.37</v>
      </c>
      <c r="J182" s="147">
        <f t="shared" si="43"/>
        <v>0</v>
      </c>
      <c r="K182" s="147">
        <f t="shared" si="44"/>
        <v>32.231999999999999</v>
      </c>
      <c r="L182" s="147">
        <f t="shared" si="45"/>
        <v>0.96695999999999993</v>
      </c>
      <c r="M182" s="147">
        <f t="shared" si="46"/>
        <v>33.19896</v>
      </c>
      <c r="N182" s="177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13"/>
      <c r="CA182" s="113"/>
      <c r="CB182" s="113"/>
      <c r="CC182" s="113"/>
      <c r="CD182" s="113"/>
      <c r="CE182" s="113"/>
      <c r="CF182" s="113"/>
      <c r="CG182" s="113"/>
      <c r="CH182" s="113"/>
      <c r="CI182" s="113"/>
      <c r="CJ182" s="113"/>
      <c r="CK182" s="113"/>
    </row>
    <row r="183" spans="1:89" s="116" customFormat="1">
      <c r="A183" s="162"/>
      <c r="B183" s="129">
        <v>174</v>
      </c>
      <c r="C183" s="106" t="s">
        <v>306</v>
      </c>
      <c r="D183" s="124" t="s">
        <v>16</v>
      </c>
      <c r="E183" s="210"/>
      <c r="F183" s="205">
        <v>0.23499999999999999</v>
      </c>
      <c r="G183" s="205"/>
      <c r="H183" s="205">
        <v>200</v>
      </c>
      <c r="I183" s="205">
        <f>H183*0.03</f>
        <v>6</v>
      </c>
      <c r="J183" s="147">
        <f t="shared" si="43"/>
        <v>0</v>
      </c>
      <c r="K183" s="147">
        <f t="shared" si="44"/>
        <v>47</v>
      </c>
      <c r="L183" s="147">
        <f t="shared" si="45"/>
        <v>1.41</v>
      </c>
      <c r="M183" s="147">
        <f t="shared" si="46"/>
        <v>48.41</v>
      </c>
      <c r="N183" s="177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13"/>
      <c r="CA183" s="113"/>
      <c r="CB183" s="113"/>
      <c r="CC183" s="113"/>
      <c r="CD183" s="113"/>
      <c r="CE183" s="113"/>
      <c r="CF183" s="113"/>
      <c r="CG183" s="113"/>
      <c r="CH183" s="113"/>
      <c r="CI183" s="113"/>
      <c r="CJ183" s="113"/>
      <c r="CK183" s="113"/>
    </row>
    <row r="184" spans="1:89" s="116" customFormat="1" ht="13.5" customHeight="1">
      <c r="A184" s="162"/>
      <c r="B184" s="129">
        <v>175</v>
      </c>
      <c r="C184" s="106" t="s">
        <v>307</v>
      </c>
      <c r="D184" s="124" t="s">
        <v>13</v>
      </c>
      <c r="E184" s="210"/>
      <c r="F184" s="205">
        <v>3.21</v>
      </c>
      <c r="G184" s="205"/>
      <c r="H184" s="205">
        <v>25.8</v>
      </c>
      <c r="I184" s="205">
        <f>H184*0.03</f>
        <v>0.77400000000000002</v>
      </c>
      <c r="J184" s="147">
        <f t="shared" si="43"/>
        <v>0</v>
      </c>
      <c r="K184" s="147">
        <f t="shared" si="44"/>
        <v>82.817999999999998</v>
      </c>
      <c r="L184" s="147">
        <f t="shared" si="45"/>
        <v>2.48454</v>
      </c>
      <c r="M184" s="147">
        <f t="shared" si="46"/>
        <v>85.302539999999993</v>
      </c>
      <c r="N184" s="177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</row>
    <row r="185" spans="1:89" s="140" customFormat="1">
      <c r="A185" s="161"/>
      <c r="B185" s="129">
        <v>176</v>
      </c>
      <c r="C185" s="136" t="s">
        <v>240</v>
      </c>
      <c r="D185" s="137"/>
      <c r="E185" s="209"/>
      <c r="F185" s="206">
        <f>F186+F213+F233+F253</f>
        <v>151.24</v>
      </c>
      <c r="G185" s="208"/>
      <c r="H185" s="208"/>
      <c r="I185" s="208"/>
      <c r="J185" s="147">
        <f t="shared" ref="J185:J212" si="47">F185*G185</f>
        <v>0</v>
      </c>
      <c r="K185" s="147">
        <f t="shared" ref="K185:K212" si="48">F185*H185</f>
        <v>0</v>
      </c>
      <c r="L185" s="147">
        <f t="shared" ref="L185:L212" si="49">F185*I185</f>
        <v>0</v>
      </c>
      <c r="M185" s="147">
        <f t="shared" ref="M185:M212" si="50">J185+K185+L185</f>
        <v>0</v>
      </c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  <c r="BI185" s="139"/>
      <c r="BJ185" s="139"/>
      <c r="BK185" s="139"/>
      <c r="BL185" s="139"/>
      <c r="BM185" s="139"/>
      <c r="BN185" s="139"/>
      <c r="BO185" s="139"/>
      <c r="BP185" s="139"/>
      <c r="BQ185" s="139"/>
      <c r="BR185" s="139"/>
      <c r="BS185" s="139"/>
      <c r="BT185" s="139"/>
      <c r="BU185" s="139"/>
      <c r="BV185" s="139"/>
      <c r="BW185" s="139"/>
      <c r="BX185" s="139"/>
      <c r="BY185" s="139"/>
      <c r="BZ185" s="139"/>
      <c r="CA185" s="139"/>
      <c r="CB185" s="139"/>
      <c r="CC185" s="139"/>
      <c r="CD185" s="139"/>
      <c r="CE185" s="139"/>
      <c r="CF185" s="139"/>
      <c r="CG185" s="139"/>
      <c r="CH185" s="139"/>
      <c r="CI185" s="139"/>
      <c r="CJ185" s="139"/>
      <c r="CK185" s="139"/>
    </row>
    <row r="186" spans="1:89" s="107" customFormat="1" ht="12" customHeight="1">
      <c r="A186" s="159"/>
      <c r="B186" s="129">
        <v>177</v>
      </c>
      <c r="C186" s="114" t="s">
        <v>343</v>
      </c>
      <c r="D186" s="122" t="s">
        <v>6</v>
      </c>
      <c r="E186" s="207"/>
      <c r="F186" s="208">
        <v>70</v>
      </c>
      <c r="G186" s="208"/>
      <c r="H186" s="208"/>
      <c r="I186" s="208"/>
      <c r="J186" s="147">
        <f t="shared" si="47"/>
        <v>0</v>
      </c>
      <c r="K186" s="147">
        <f t="shared" si="48"/>
        <v>0</v>
      </c>
      <c r="L186" s="147">
        <f t="shared" si="49"/>
        <v>0</v>
      </c>
      <c r="M186" s="147">
        <f t="shared" si="50"/>
        <v>0</v>
      </c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8"/>
      <c r="AP186" s="108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8"/>
      <c r="BB186" s="108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8"/>
      <c r="BN186" s="108"/>
      <c r="BO186" s="108"/>
      <c r="BP186" s="108"/>
      <c r="BQ186" s="108"/>
      <c r="BR186" s="108"/>
      <c r="BS186" s="108"/>
      <c r="BT186" s="108"/>
      <c r="BU186" s="108"/>
      <c r="BV186" s="108"/>
      <c r="BW186" s="108"/>
      <c r="BX186" s="108"/>
      <c r="BY186" s="108"/>
      <c r="BZ186" s="108"/>
      <c r="CA186" s="108"/>
      <c r="CB186" s="108"/>
      <c r="CC186" s="108"/>
      <c r="CD186" s="108"/>
      <c r="CE186" s="108"/>
      <c r="CF186" s="108"/>
      <c r="CG186" s="108"/>
      <c r="CH186" s="108"/>
      <c r="CI186" s="108"/>
      <c r="CJ186" s="108"/>
      <c r="CK186" s="108"/>
    </row>
    <row r="187" spans="1:89">
      <c r="A187" s="160"/>
      <c r="B187" s="129">
        <v>178</v>
      </c>
      <c r="C187" s="110" t="s">
        <v>314</v>
      </c>
      <c r="D187" s="123" t="s">
        <v>273</v>
      </c>
      <c r="E187" s="204"/>
      <c r="F187" s="147">
        <f>10.1*2</f>
        <v>20.2</v>
      </c>
      <c r="G187" s="147">
        <v>1.6</v>
      </c>
      <c r="H187" s="147">
        <v>0.25</v>
      </c>
      <c r="I187" s="147">
        <f>G187*0.1</f>
        <v>0.16000000000000003</v>
      </c>
      <c r="J187" s="147">
        <f t="shared" si="47"/>
        <v>32.32</v>
      </c>
      <c r="K187" s="147">
        <f t="shared" si="48"/>
        <v>5.05</v>
      </c>
      <c r="L187" s="147">
        <f t="shared" si="49"/>
        <v>3.2320000000000007</v>
      </c>
      <c r="M187" s="147">
        <f t="shared" si="50"/>
        <v>40.601999999999997</v>
      </c>
      <c r="CD187" s="104"/>
      <c r="CE187" s="104"/>
      <c r="CF187" s="104"/>
      <c r="CG187" s="104"/>
      <c r="CH187" s="104"/>
      <c r="CI187" s="104"/>
      <c r="CJ187" s="104"/>
      <c r="CK187" s="104"/>
    </row>
    <row r="188" spans="1:89">
      <c r="A188" s="160"/>
      <c r="B188" s="129">
        <v>179</v>
      </c>
      <c r="C188" s="110" t="s">
        <v>335</v>
      </c>
      <c r="D188" s="123" t="s">
        <v>11</v>
      </c>
      <c r="E188" s="204"/>
      <c r="F188" s="147">
        <v>16</v>
      </c>
      <c r="G188" s="147">
        <v>1.1000000000000001</v>
      </c>
      <c r="H188" s="147">
        <v>0.15</v>
      </c>
      <c r="I188" s="147">
        <f t="shared" ref="I188:I196" si="51">G188*0.1</f>
        <v>0.11000000000000001</v>
      </c>
      <c r="J188" s="147">
        <f t="shared" si="47"/>
        <v>17.600000000000001</v>
      </c>
      <c r="K188" s="147">
        <f t="shared" si="48"/>
        <v>2.4</v>
      </c>
      <c r="L188" s="147">
        <f t="shared" si="49"/>
        <v>1.7600000000000002</v>
      </c>
      <c r="M188" s="147">
        <f t="shared" si="50"/>
        <v>21.76</v>
      </c>
      <c r="CD188" s="104"/>
      <c r="CE188" s="104"/>
      <c r="CF188" s="104"/>
      <c r="CG188" s="104"/>
      <c r="CH188" s="104"/>
      <c r="CI188" s="104"/>
      <c r="CJ188" s="104"/>
      <c r="CK188" s="104"/>
    </row>
    <row r="189" spans="1:89">
      <c r="A189" s="160"/>
      <c r="B189" s="129">
        <v>180</v>
      </c>
      <c r="C189" s="110" t="s">
        <v>286</v>
      </c>
      <c r="D189" s="123" t="s">
        <v>6</v>
      </c>
      <c r="E189" s="204"/>
      <c r="F189" s="147">
        <f>9.5*6</f>
        <v>57</v>
      </c>
      <c r="G189" s="147">
        <v>0.65</v>
      </c>
      <c r="H189" s="147"/>
      <c r="I189" s="147">
        <f t="shared" si="51"/>
        <v>6.5000000000000002E-2</v>
      </c>
      <c r="J189" s="147">
        <f t="shared" si="47"/>
        <v>37.050000000000004</v>
      </c>
      <c r="K189" s="147">
        <f t="shared" si="48"/>
        <v>0</v>
      </c>
      <c r="L189" s="147">
        <f t="shared" si="49"/>
        <v>3.7050000000000001</v>
      </c>
      <c r="M189" s="147">
        <f t="shared" si="50"/>
        <v>40.755000000000003</v>
      </c>
      <c r="CD189" s="104"/>
      <c r="CE189" s="104"/>
      <c r="CF189" s="104"/>
      <c r="CG189" s="104"/>
      <c r="CH189" s="104"/>
      <c r="CI189" s="104"/>
      <c r="CJ189" s="104"/>
      <c r="CK189" s="104"/>
    </row>
    <row r="190" spans="1:89">
      <c r="A190" s="160"/>
      <c r="B190" s="129">
        <v>181</v>
      </c>
      <c r="C190" s="110" t="s">
        <v>315</v>
      </c>
      <c r="D190" s="123" t="s">
        <v>6</v>
      </c>
      <c r="E190" s="204"/>
      <c r="F190" s="147">
        <v>57</v>
      </c>
      <c r="G190" s="147">
        <v>7.4999999999999997E-2</v>
      </c>
      <c r="H190" s="147"/>
      <c r="I190" s="147">
        <f t="shared" si="51"/>
        <v>7.4999999999999997E-3</v>
      </c>
      <c r="J190" s="147">
        <f t="shared" si="47"/>
        <v>4.2749999999999995</v>
      </c>
      <c r="K190" s="147">
        <f t="shared" si="48"/>
        <v>0</v>
      </c>
      <c r="L190" s="147">
        <f t="shared" si="49"/>
        <v>0.42749999999999999</v>
      </c>
      <c r="M190" s="147">
        <f t="shared" si="50"/>
        <v>4.7024999999999997</v>
      </c>
      <c r="CD190" s="104"/>
      <c r="CE190" s="104"/>
      <c r="CF190" s="104"/>
      <c r="CG190" s="104"/>
      <c r="CH190" s="104"/>
      <c r="CI190" s="104"/>
      <c r="CJ190" s="104"/>
      <c r="CK190" s="104"/>
    </row>
    <row r="191" spans="1:89">
      <c r="A191" s="160"/>
      <c r="B191" s="129">
        <v>182</v>
      </c>
      <c r="C191" s="110" t="s">
        <v>316</v>
      </c>
      <c r="D191" s="123" t="s">
        <v>13</v>
      </c>
      <c r="E191" s="204"/>
      <c r="F191" s="147">
        <f>F190*0.2*1</f>
        <v>11.4</v>
      </c>
      <c r="G191" s="147">
        <v>0.15</v>
      </c>
      <c r="H191" s="147"/>
      <c r="I191" s="147">
        <f t="shared" si="51"/>
        <v>1.4999999999999999E-2</v>
      </c>
      <c r="J191" s="147">
        <f t="shared" si="47"/>
        <v>1.71</v>
      </c>
      <c r="K191" s="147">
        <f t="shared" si="48"/>
        <v>0</v>
      </c>
      <c r="L191" s="147">
        <f t="shared" si="49"/>
        <v>0.17099999999999999</v>
      </c>
      <c r="M191" s="147">
        <f t="shared" si="50"/>
        <v>1.881</v>
      </c>
      <c r="CD191" s="104"/>
      <c r="CE191" s="104"/>
      <c r="CF191" s="104"/>
      <c r="CG191" s="104"/>
      <c r="CH191" s="104"/>
      <c r="CI191" s="104"/>
      <c r="CJ191" s="104"/>
      <c r="CK191" s="104"/>
    </row>
    <row r="192" spans="1:89">
      <c r="A192" s="160"/>
      <c r="B192" s="129">
        <v>183</v>
      </c>
      <c r="C192" s="110" t="s">
        <v>317</v>
      </c>
      <c r="D192" s="123" t="s">
        <v>6</v>
      </c>
      <c r="E192" s="204"/>
      <c r="F192" s="147">
        <v>70</v>
      </c>
      <c r="G192" s="147">
        <v>0.5</v>
      </c>
      <c r="H192" s="147"/>
      <c r="I192" s="147">
        <f t="shared" si="51"/>
        <v>0.05</v>
      </c>
      <c r="J192" s="147">
        <f t="shared" si="47"/>
        <v>35</v>
      </c>
      <c r="K192" s="147">
        <f t="shared" si="48"/>
        <v>0</v>
      </c>
      <c r="L192" s="147">
        <f t="shared" si="49"/>
        <v>3.5</v>
      </c>
      <c r="M192" s="147">
        <f t="shared" si="50"/>
        <v>38.5</v>
      </c>
      <c r="CD192" s="104"/>
      <c r="CE192" s="104"/>
      <c r="CF192" s="104"/>
      <c r="CG192" s="104"/>
      <c r="CH192" s="104"/>
      <c r="CI192" s="104"/>
      <c r="CJ192" s="104"/>
      <c r="CK192" s="104"/>
    </row>
    <row r="193" spans="1:89" ht="25.5" customHeight="1">
      <c r="A193" s="160"/>
      <c r="B193" s="129">
        <v>184</v>
      </c>
      <c r="C193" s="111" t="s">
        <v>327</v>
      </c>
      <c r="D193" s="123" t="s">
        <v>6</v>
      </c>
      <c r="E193" s="204"/>
      <c r="F193" s="147">
        <v>70</v>
      </c>
      <c r="G193" s="147">
        <v>0.6</v>
      </c>
      <c r="H193" s="147"/>
      <c r="I193" s="147">
        <f t="shared" si="51"/>
        <v>0.06</v>
      </c>
      <c r="J193" s="147">
        <f t="shared" si="47"/>
        <v>42</v>
      </c>
      <c r="K193" s="147">
        <f t="shared" si="48"/>
        <v>0</v>
      </c>
      <c r="L193" s="147">
        <f t="shared" si="49"/>
        <v>4.2</v>
      </c>
      <c r="M193" s="147">
        <f t="shared" si="50"/>
        <v>46.2</v>
      </c>
      <c r="CD193" s="104"/>
      <c r="CE193" s="104"/>
      <c r="CF193" s="104"/>
      <c r="CG193" s="104"/>
      <c r="CH193" s="104"/>
      <c r="CI193" s="104"/>
      <c r="CJ193" s="104"/>
      <c r="CK193" s="104"/>
    </row>
    <row r="194" spans="1:89">
      <c r="A194" s="160"/>
      <c r="B194" s="129">
        <v>185</v>
      </c>
      <c r="C194" s="110" t="s">
        <v>318</v>
      </c>
      <c r="D194" s="123" t="s">
        <v>6</v>
      </c>
      <c r="E194" s="204"/>
      <c r="F194" s="147">
        <v>70</v>
      </c>
      <c r="G194" s="147">
        <v>0.55000000000000004</v>
      </c>
      <c r="H194" s="147"/>
      <c r="I194" s="147">
        <f t="shared" si="51"/>
        <v>5.5000000000000007E-2</v>
      </c>
      <c r="J194" s="147">
        <f t="shared" si="47"/>
        <v>38.5</v>
      </c>
      <c r="K194" s="147">
        <f t="shared" si="48"/>
        <v>0</v>
      </c>
      <c r="L194" s="147">
        <f t="shared" si="49"/>
        <v>3.8500000000000005</v>
      </c>
      <c r="M194" s="147">
        <f t="shared" si="50"/>
        <v>42.35</v>
      </c>
      <c r="CD194" s="104"/>
      <c r="CE194" s="104"/>
      <c r="CF194" s="104"/>
      <c r="CG194" s="104"/>
      <c r="CH194" s="104"/>
      <c r="CI194" s="104"/>
      <c r="CJ194" s="104"/>
      <c r="CK194" s="104"/>
    </row>
    <row r="195" spans="1:89">
      <c r="A195" s="160"/>
      <c r="B195" s="129">
        <v>186</v>
      </c>
      <c r="C195" s="110" t="s">
        <v>319</v>
      </c>
      <c r="D195" s="123" t="s">
        <v>6</v>
      </c>
      <c r="E195" s="204"/>
      <c r="F195" s="147">
        <v>70</v>
      </c>
      <c r="G195" s="147">
        <v>1.1499999999999999</v>
      </c>
      <c r="H195" s="147"/>
      <c r="I195" s="147">
        <f t="shared" si="51"/>
        <v>0.11499999999999999</v>
      </c>
      <c r="J195" s="147">
        <f t="shared" si="47"/>
        <v>80.5</v>
      </c>
      <c r="K195" s="147">
        <f t="shared" si="48"/>
        <v>0</v>
      </c>
      <c r="L195" s="147">
        <f t="shared" si="49"/>
        <v>8.0499999999999989</v>
      </c>
      <c r="M195" s="147">
        <f t="shared" si="50"/>
        <v>88.55</v>
      </c>
      <c r="CD195" s="104"/>
      <c r="CE195" s="104"/>
      <c r="CF195" s="104"/>
      <c r="CG195" s="104"/>
      <c r="CH195" s="104"/>
      <c r="CI195" s="104"/>
      <c r="CJ195" s="104"/>
      <c r="CK195" s="104"/>
    </row>
    <row r="196" spans="1:89" ht="25.5" customHeight="1">
      <c r="A196" s="160"/>
      <c r="B196" s="129">
        <v>187</v>
      </c>
      <c r="C196" s="111" t="s">
        <v>328</v>
      </c>
      <c r="D196" s="123" t="s">
        <v>11</v>
      </c>
      <c r="E196" s="204"/>
      <c r="F196" s="147">
        <v>3</v>
      </c>
      <c r="G196" s="147">
        <v>1.5</v>
      </c>
      <c r="H196" s="147"/>
      <c r="I196" s="147">
        <f t="shared" si="51"/>
        <v>0.15000000000000002</v>
      </c>
      <c r="J196" s="147">
        <f t="shared" si="47"/>
        <v>4.5</v>
      </c>
      <c r="K196" s="147">
        <f t="shared" si="48"/>
        <v>0</v>
      </c>
      <c r="L196" s="147">
        <f t="shared" si="49"/>
        <v>0.45000000000000007</v>
      </c>
      <c r="M196" s="147">
        <f t="shared" si="50"/>
        <v>4.95</v>
      </c>
      <c r="CD196" s="104"/>
      <c r="CE196" s="104"/>
      <c r="CF196" s="104"/>
      <c r="CG196" s="104"/>
      <c r="CH196" s="104"/>
      <c r="CI196" s="104"/>
      <c r="CJ196" s="104"/>
      <c r="CK196" s="104"/>
    </row>
    <row r="197" spans="1:89" s="112" customFormat="1">
      <c r="A197" s="162"/>
      <c r="B197" s="129">
        <v>188</v>
      </c>
      <c r="C197" s="106" t="s">
        <v>320</v>
      </c>
      <c r="D197" s="124" t="s">
        <v>13</v>
      </c>
      <c r="E197" s="210"/>
      <c r="F197" s="205">
        <v>0.7</v>
      </c>
      <c r="G197" s="205"/>
      <c r="H197" s="205">
        <v>79</v>
      </c>
      <c r="I197" s="205">
        <f>H197*0.03</f>
        <v>2.37</v>
      </c>
      <c r="J197" s="147">
        <f t="shared" si="47"/>
        <v>0</v>
      </c>
      <c r="K197" s="147">
        <f t="shared" si="48"/>
        <v>55.3</v>
      </c>
      <c r="L197" s="147">
        <f t="shared" si="49"/>
        <v>1.659</v>
      </c>
      <c r="M197" s="147">
        <f t="shared" si="50"/>
        <v>56.958999999999996</v>
      </c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  <c r="BQ197" s="113"/>
      <c r="BR197" s="113"/>
      <c r="BS197" s="113"/>
      <c r="BT197" s="113"/>
      <c r="BU197" s="113"/>
      <c r="BV197" s="113"/>
      <c r="BW197" s="113"/>
      <c r="BX197" s="113"/>
      <c r="BY197" s="113"/>
      <c r="BZ197" s="113"/>
      <c r="CA197" s="113"/>
      <c r="CB197" s="113"/>
      <c r="CC197" s="113"/>
      <c r="CD197" s="113"/>
      <c r="CE197" s="113"/>
      <c r="CF197" s="113"/>
      <c r="CG197" s="113"/>
      <c r="CH197" s="113"/>
      <c r="CI197" s="113"/>
      <c r="CJ197" s="113"/>
      <c r="CK197" s="113"/>
    </row>
    <row r="198" spans="1:89" s="112" customFormat="1">
      <c r="A198" s="162"/>
      <c r="B198" s="129">
        <v>189</v>
      </c>
      <c r="C198" s="106" t="s">
        <v>321</v>
      </c>
      <c r="D198" s="124" t="s">
        <v>13</v>
      </c>
      <c r="E198" s="210"/>
      <c r="F198" s="205">
        <v>2.6</v>
      </c>
      <c r="G198" s="205"/>
      <c r="H198" s="205">
        <v>79</v>
      </c>
      <c r="I198" s="205">
        <f t="shared" ref="I198:I209" si="52">H198*0.03</f>
        <v>2.37</v>
      </c>
      <c r="J198" s="147">
        <f t="shared" si="47"/>
        <v>0</v>
      </c>
      <c r="K198" s="147">
        <f t="shared" si="48"/>
        <v>205.4</v>
      </c>
      <c r="L198" s="147">
        <f t="shared" si="49"/>
        <v>6.1620000000000008</v>
      </c>
      <c r="M198" s="147">
        <f t="shared" si="50"/>
        <v>211.56200000000001</v>
      </c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  <c r="BQ198" s="113"/>
      <c r="BR198" s="113"/>
      <c r="BS198" s="113"/>
      <c r="BT198" s="113"/>
      <c r="BU198" s="113"/>
      <c r="BV198" s="113"/>
      <c r="BW198" s="113"/>
      <c r="BX198" s="113"/>
      <c r="BY198" s="113"/>
      <c r="BZ198" s="113"/>
      <c r="CA198" s="113"/>
      <c r="CB198" s="113"/>
      <c r="CC198" s="113"/>
      <c r="CD198" s="113"/>
      <c r="CE198" s="113"/>
      <c r="CF198" s="113"/>
      <c r="CG198" s="113"/>
      <c r="CH198" s="113"/>
      <c r="CI198" s="113"/>
      <c r="CJ198" s="113"/>
      <c r="CK198" s="113"/>
    </row>
    <row r="199" spans="1:89">
      <c r="A199" s="160"/>
      <c r="B199" s="129">
        <v>190</v>
      </c>
      <c r="C199" s="106" t="s">
        <v>493</v>
      </c>
      <c r="D199" s="124" t="s">
        <v>13</v>
      </c>
      <c r="E199" s="204"/>
      <c r="F199" s="147">
        <v>0.3</v>
      </c>
      <c r="G199" s="147"/>
      <c r="H199" s="205">
        <v>79</v>
      </c>
      <c r="I199" s="205">
        <f t="shared" si="52"/>
        <v>2.37</v>
      </c>
      <c r="J199" s="147">
        <f t="shared" si="47"/>
        <v>0</v>
      </c>
      <c r="K199" s="147">
        <f t="shared" si="48"/>
        <v>23.7</v>
      </c>
      <c r="L199" s="147">
        <f t="shared" si="49"/>
        <v>0.71099999999999997</v>
      </c>
      <c r="M199" s="147">
        <f t="shared" si="50"/>
        <v>24.410999999999998</v>
      </c>
      <c r="CD199" s="104"/>
      <c r="CE199" s="104"/>
      <c r="CF199" s="104"/>
      <c r="CG199" s="104"/>
      <c r="CH199" s="104"/>
      <c r="CI199" s="104"/>
      <c r="CJ199" s="104"/>
      <c r="CK199" s="104"/>
    </row>
    <row r="200" spans="1:89" s="112" customFormat="1">
      <c r="A200" s="162"/>
      <c r="B200" s="129">
        <v>191</v>
      </c>
      <c r="C200" s="106" t="s">
        <v>143</v>
      </c>
      <c r="D200" s="124" t="s">
        <v>11</v>
      </c>
      <c r="E200" s="210">
        <v>52</v>
      </c>
      <c r="F200" s="205">
        <v>32</v>
      </c>
      <c r="G200" s="205"/>
      <c r="H200" s="205">
        <v>0.65</v>
      </c>
      <c r="I200" s="205">
        <f t="shared" si="52"/>
        <v>1.95E-2</v>
      </c>
      <c r="J200" s="147">
        <f t="shared" si="47"/>
        <v>0</v>
      </c>
      <c r="K200" s="147">
        <f t="shared" si="48"/>
        <v>20.8</v>
      </c>
      <c r="L200" s="147">
        <f t="shared" si="49"/>
        <v>0.624</v>
      </c>
      <c r="M200" s="147">
        <f t="shared" si="50"/>
        <v>21.423999999999999</v>
      </c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</row>
    <row r="201" spans="1:89" s="112" customFormat="1">
      <c r="A201" s="162"/>
      <c r="B201" s="129">
        <v>192</v>
      </c>
      <c r="C201" s="106" t="s">
        <v>322</v>
      </c>
      <c r="D201" s="124" t="s">
        <v>6</v>
      </c>
      <c r="E201" s="210"/>
      <c r="F201" s="205">
        <f>F190*2</f>
        <v>114</v>
      </c>
      <c r="G201" s="205"/>
      <c r="H201" s="205">
        <v>2</v>
      </c>
      <c r="I201" s="205">
        <f t="shared" si="52"/>
        <v>0.06</v>
      </c>
      <c r="J201" s="147">
        <f t="shared" si="47"/>
        <v>0</v>
      </c>
      <c r="K201" s="147">
        <f t="shared" si="48"/>
        <v>228</v>
      </c>
      <c r="L201" s="147">
        <f t="shared" si="49"/>
        <v>6.84</v>
      </c>
      <c r="M201" s="147">
        <f t="shared" si="50"/>
        <v>234.84</v>
      </c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  <c r="BZ201" s="113"/>
      <c r="CA201" s="113"/>
      <c r="CB201" s="113"/>
      <c r="CC201" s="113"/>
      <c r="CD201" s="113"/>
      <c r="CE201" s="113"/>
      <c r="CF201" s="113"/>
      <c r="CG201" s="113"/>
      <c r="CH201" s="113"/>
      <c r="CI201" s="113"/>
      <c r="CJ201" s="113"/>
      <c r="CK201" s="113"/>
    </row>
    <row r="202" spans="1:89" s="112" customFormat="1">
      <c r="A202" s="162"/>
      <c r="B202" s="129">
        <v>193</v>
      </c>
      <c r="C202" s="106" t="s">
        <v>29</v>
      </c>
      <c r="D202" s="124" t="s">
        <v>6</v>
      </c>
      <c r="E202" s="210">
        <v>110</v>
      </c>
      <c r="F202" s="205">
        <f>F190*1.1</f>
        <v>62.7</v>
      </c>
      <c r="G202" s="205"/>
      <c r="H202" s="205">
        <v>0.1</v>
      </c>
      <c r="I202" s="205">
        <f t="shared" si="52"/>
        <v>3.0000000000000001E-3</v>
      </c>
      <c r="J202" s="147">
        <f t="shared" si="47"/>
        <v>0</v>
      </c>
      <c r="K202" s="147">
        <f t="shared" si="48"/>
        <v>6.2700000000000005</v>
      </c>
      <c r="L202" s="147">
        <f t="shared" si="49"/>
        <v>0.18810000000000002</v>
      </c>
      <c r="M202" s="147">
        <f t="shared" si="50"/>
        <v>6.4581000000000008</v>
      </c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3"/>
      <c r="CA202" s="113"/>
      <c r="CB202" s="113"/>
      <c r="CC202" s="113"/>
      <c r="CD202" s="113"/>
      <c r="CE202" s="113"/>
      <c r="CF202" s="113"/>
      <c r="CG202" s="113"/>
      <c r="CH202" s="113"/>
      <c r="CI202" s="113"/>
      <c r="CJ202" s="113"/>
      <c r="CK202" s="113"/>
    </row>
    <row r="203" spans="1:89" s="112" customFormat="1">
      <c r="A203" s="162"/>
      <c r="B203" s="129">
        <v>194</v>
      </c>
      <c r="C203" s="106" t="s">
        <v>323</v>
      </c>
      <c r="D203" s="124" t="s">
        <v>13</v>
      </c>
      <c r="E203" s="210">
        <v>11</v>
      </c>
      <c r="F203" s="205">
        <f>F189*0.2</f>
        <v>11.4</v>
      </c>
      <c r="G203" s="205"/>
      <c r="H203" s="205">
        <v>23</v>
      </c>
      <c r="I203" s="205">
        <f t="shared" si="52"/>
        <v>0.69</v>
      </c>
      <c r="J203" s="147">
        <f t="shared" si="47"/>
        <v>0</v>
      </c>
      <c r="K203" s="147">
        <f t="shared" si="48"/>
        <v>262.2</v>
      </c>
      <c r="L203" s="147">
        <f t="shared" si="49"/>
        <v>7.8659999999999997</v>
      </c>
      <c r="M203" s="147">
        <f t="shared" si="50"/>
        <v>270.06599999999997</v>
      </c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3"/>
      <c r="CA203" s="113"/>
      <c r="CB203" s="113"/>
      <c r="CC203" s="113"/>
      <c r="CD203" s="113"/>
      <c r="CE203" s="113"/>
      <c r="CF203" s="113"/>
      <c r="CG203" s="113"/>
      <c r="CH203" s="113"/>
      <c r="CI203" s="113"/>
      <c r="CJ203" s="113"/>
      <c r="CK203" s="113"/>
    </row>
    <row r="204" spans="1:89" s="112" customFormat="1">
      <c r="A204" s="162"/>
      <c r="B204" s="129">
        <v>195</v>
      </c>
      <c r="C204" s="106" t="s">
        <v>133</v>
      </c>
      <c r="D204" s="124" t="s">
        <v>6</v>
      </c>
      <c r="E204" s="210">
        <v>77</v>
      </c>
      <c r="F204" s="205">
        <f>F192*2</f>
        <v>140</v>
      </c>
      <c r="G204" s="205"/>
      <c r="H204" s="205">
        <v>3.65</v>
      </c>
      <c r="I204" s="205">
        <f t="shared" si="52"/>
        <v>0.1095</v>
      </c>
      <c r="J204" s="147">
        <f t="shared" si="47"/>
        <v>0</v>
      </c>
      <c r="K204" s="147">
        <f t="shared" si="48"/>
        <v>511</v>
      </c>
      <c r="L204" s="147">
        <f t="shared" si="49"/>
        <v>15.33</v>
      </c>
      <c r="M204" s="147">
        <f t="shared" si="50"/>
        <v>526.33000000000004</v>
      </c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3"/>
      <c r="CA204" s="113"/>
      <c r="CB204" s="113"/>
      <c r="CC204" s="113"/>
      <c r="CD204" s="113"/>
      <c r="CE204" s="113"/>
      <c r="CF204" s="113"/>
      <c r="CG204" s="113"/>
      <c r="CH204" s="113"/>
      <c r="CI204" s="113"/>
      <c r="CJ204" s="113"/>
      <c r="CK204" s="113"/>
    </row>
    <row r="205" spans="1:89">
      <c r="A205" s="160"/>
      <c r="B205" s="129">
        <v>196</v>
      </c>
      <c r="C205" s="106" t="s">
        <v>324</v>
      </c>
      <c r="D205" s="123" t="s">
        <v>6</v>
      </c>
      <c r="E205" s="204">
        <v>80</v>
      </c>
      <c r="F205" s="147">
        <v>70</v>
      </c>
      <c r="G205" s="147"/>
      <c r="H205" s="147">
        <v>4.5999999999999996</v>
      </c>
      <c r="I205" s="205">
        <f t="shared" si="52"/>
        <v>0.13799999999999998</v>
      </c>
      <c r="J205" s="147">
        <f t="shared" si="47"/>
        <v>0</v>
      </c>
      <c r="K205" s="147">
        <f t="shared" si="48"/>
        <v>322</v>
      </c>
      <c r="L205" s="147">
        <f t="shared" si="49"/>
        <v>9.6599999999999984</v>
      </c>
      <c r="M205" s="147">
        <f t="shared" si="50"/>
        <v>331.66</v>
      </c>
      <c r="CD205" s="104"/>
      <c r="CE205" s="104"/>
      <c r="CF205" s="104"/>
      <c r="CG205" s="104"/>
      <c r="CH205" s="104"/>
      <c r="CI205" s="104"/>
      <c r="CJ205" s="104"/>
      <c r="CK205" s="104"/>
    </row>
    <row r="206" spans="1:89">
      <c r="A206" s="160"/>
      <c r="B206" s="129">
        <v>197</v>
      </c>
      <c r="C206" s="106" t="s">
        <v>325</v>
      </c>
      <c r="D206" s="124" t="s">
        <v>11</v>
      </c>
      <c r="E206" s="204"/>
      <c r="F206" s="147">
        <v>3</v>
      </c>
      <c r="G206" s="147"/>
      <c r="H206" s="147">
        <v>2.75</v>
      </c>
      <c r="I206" s="205">
        <f t="shared" si="52"/>
        <v>8.249999999999999E-2</v>
      </c>
      <c r="J206" s="147">
        <f t="shared" si="47"/>
        <v>0</v>
      </c>
      <c r="K206" s="147">
        <f t="shared" si="48"/>
        <v>8.25</v>
      </c>
      <c r="L206" s="147">
        <f t="shared" si="49"/>
        <v>0.24749999999999997</v>
      </c>
      <c r="M206" s="147">
        <f t="shared" si="50"/>
        <v>8.4975000000000005</v>
      </c>
      <c r="CD206" s="104"/>
      <c r="CE206" s="104"/>
      <c r="CF206" s="104"/>
      <c r="CG206" s="104"/>
      <c r="CH206" s="104"/>
      <c r="CI206" s="104"/>
      <c r="CJ206" s="104"/>
      <c r="CK206" s="104"/>
    </row>
    <row r="207" spans="1:89" s="112" customFormat="1">
      <c r="A207" s="162"/>
      <c r="B207" s="129">
        <v>198</v>
      </c>
      <c r="C207" s="106" t="s">
        <v>297</v>
      </c>
      <c r="D207" s="124" t="s">
        <v>11</v>
      </c>
      <c r="E207" s="210"/>
      <c r="F207" s="205">
        <f>(((144/1.5)/1.5)*20+70*15)*1.03</f>
        <v>2399.9</v>
      </c>
      <c r="G207" s="205"/>
      <c r="H207" s="205">
        <v>0.03</v>
      </c>
      <c r="I207" s="205">
        <f t="shared" si="52"/>
        <v>8.9999999999999998E-4</v>
      </c>
      <c r="J207" s="147">
        <f t="shared" si="47"/>
        <v>0</v>
      </c>
      <c r="K207" s="147">
        <f t="shared" si="48"/>
        <v>71.997</v>
      </c>
      <c r="L207" s="147">
        <f t="shared" si="49"/>
        <v>2.15991</v>
      </c>
      <c r="M207" s="147">
        <f t="shared" si="50"/>
        <v>74.156909999999996</v>
      </c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  <c r="BZ207" s="113"/>
      <c r="CA207" s="113"/>
      <c r="CB207" s="113"/>
      <c r="CC207" s="113"/>
      <c r="CD207" s="113"/>
      <c r="CE207" s="113"/>
      <c r="CF207" s="113"/>
      <c r="CG207" s="113"/>
      <c r="CH207" s="113"/>
      <c r="CI207" s="113"/>
      <c r="CJ207" s="113"/>
      <c r="CK207" s="113"/>
    </row>
    <row r="208" spans="1:89" s="112" customFormat="1">
      <c r="A208" s="162"/>
      <c r="B208" s="129">
        <v>199</v>
      </c>
      <c r="C208" s="106" t="s">
        <v>311</v>
      </c>
      <c r="D208" s="124" t="s">
        <v>47</v>
      </c>
      <c r="E208" s="210"/>
      <c r="F208" s="205">
        <v>7</v>
      </c>
      <c r="G208" s="205"/>
      <c r="H208" s="205">
        <v>0.45</v>
      </c>
      <c r="I208" s="205">
        <f t="shared" si="52"/>
        <v>1.35E-2</v>
      </c>
      <c r="J208" s="147">
        <f t="shared" si="47"/>
        <v>0</v>
      </c>
      <c r="K208" s="147">
        <f t="shared" si="48"/>
        <v>3.15</v>
      </c>
      <c r="L208" s="147">
        <f t="shared" si="49"/>
        <v>9.4500000000000001E-2</v>
      </c>
      <c r="M208" s="147">
        <f t="shared" si="50"/>
        <v>3.2444999999999999</v>
      </c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  <c r="BZ208" s="113"/>
      <c r="CA208" s="113"/>
      <c r="CB208" s="113"/>
      <c r="CC208" s="113"/>
      <c r="CD208" s="113"/>
      <c r="CE208" s="113"/>
      <c r="CF208" s="113"/>
      <c r="CG208" s="113"/>
      <c r="CH208" s="113"/>
      <c r="CI208" s="113"/>
      <c r="CJ208" s="113"/>
      <c r="CK208" s="113"/>
    </row>
    <row r="209" spans="1:89" s="112" customFormat="1">
      <c r="A209" s="162"/>
      <c r="B209" s="129">
        <v>200</v>
      </c>
      <c r="C209" s="106" t="s">
        <v>326</v>
      </c>
      <c r="D209" s="124" t="s">
        <v>47</v>
      </c>
      <c r="E209" s="210"/>
      <c r="F209" s="205">
        <v>2.5</v>
      </c>
      <c r="G209" s="205"/>
      <c r="H209" s="205">
        <v>0.68</v>
      </c>
      <c r="I209" s="205">
        <f t="shared" si="52"/>
        <v>2.0400000000000001E-2</v>
      </c>
      <c r="J209" s="147">
        <f t="shared" si="47"/>
        <v>0</v>
      </c>
      <c r="K209" s="147">
        <f t="shared" si="48"/>
        <v>1.7000000000000002</v>
      </c>
      <c r="L209" s="147">
        <f t="shared" si="49"/>
        <v>5.1000000000000004E-2</v>
      </c>
      <c r="M209" s="147">
        <f t="shared" si="50"/>
        <v>1.7510000000000001</v>
      </c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3"/>
      <c r="CA209" s="113"/>
      <c r="CB209" s="113"/>
      <c r="CC209" s="113"/>
      <c r="CD209" s="113"/>
      <c r="CE209" s="113"/>
      <c r="CF209" s="113"/>
      <c r="CG209" s="113"/>
      <c r="CH209" s="113"/>
      <c r="CI209" s="113"/>
      <c r="CJ209" s="113"/>
      <c r="CK209" s="113"/>
    </row>
    <row r="210" spans="1:89" s="112" customFormat="1">
      <c r="A210" s="162"/>
      <c r="B210" s="129">
        <v>201</v>
      </c>
      <c r="C210" s="110" t="s">
        <v>329</v>
      </c>
      <c r="D210" s="124" t="s">
        <v>6</v>
      </c>
      <c r="E210" s="210"/>
      <c r="F210" s="205">
        <f>10.1*0.8</f>
        <v>8.08</v>
      </c>
      <c r="G210" s="205">
        <v>6.3</v>
      </c>
      <c r="H210" s="205"/>
      <c r="I210" s="147">
        <f>G210*0.1</f>
        <v>0.63</v>
      </c>
      <c r="J210" s="147">
        <f t="shared" si="47"/>
        <v>50.903999999999996</v>
      </c>
      <c r="K210" s="147">
        <f t="shared" si="48"/>
        <v>0</v>
      </c>
      <c r="L210" s="147">
        <f t="shared" si="49"/>
        <v>5.0903999999999998</v>
      </c>
      <c r="M210" s="147">
        <f t="shared" si="50"/>
        <v>55.994399999999999</v>
      </c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3"/>
      <c r="CA210" s="113"/>
      <c r="CB210" s="113"/>
      <c r="CC210" s="113"/>
      <c r="CD210" s="113"/>
      <c r="CE210" s="113"/>
      <c r="CF210" s="113"/>
      <c r="CG210" s="113"/>
      <c r="CH210" s="113"/>
      <c r="CI210" s="113"/>
      <c r="CJ210" s="113"/>
      <c r="CK210" s="113"/>
    </row>
    <row r="211" spans="1:89" s="112" customFormat="1">
      <c r="A211" s="162"/>
      <c r="B211" s="129">
        <v>202</v>
      </c>
      <c r="C211" s="106" t="s">
        <v>27</v>
      </c>
      <c r="D211" s="124" t="s">
        <v>13</v>
      </c>
      <c r="E211" s="210">
        <v>2.6</v>
      </c>
      <c r="F211" s="205">
        <v>0.3</v>
      </c>
      <c r="G211" s="205"/>
      <c r="H211" s="205">
        <v>79</v>
      </c>
      <c r="I211" s="205">
        <f>H211*0.03</f>
        <v>2.37</v>
      </c>
      <c r="J211" s="147">
        <f t="shared" si="47"/>
        <v>0</v>
      </c>
      <c r="K211" s="147">
        <f t="shared" si="48"/>
        <v>23.7</v>
      </c>
      <c r="L211" s="147">
        <f t="shared" si="49"/>
        <v>0.71099999999999997</v>
      </c>
      <c r="M211" s="147">
        <f t="shared" si="50"/>
        <v>24.410999999999998</v>
      </c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3"/>
      <c r="CA211" s="113"/>
      <c r="CB211" s="113"/>
      <c r="CC211" s="113"/>
      <c r="CD211" s="113"/>
      <c r="CE211" s="113"/>
      <c r="CF211" s="113"/>
      <c r="CG211" s="113"/>
      <c r="CH211" s="113"/>
      <c r="CI211" s="113"/>
      <c r="CJ211" s="113"/>
      <c r="CK211" s="113"/>
    </row>
    <row r="212" spans="1:89" s="112" customFormat="1">
      <c r="A212" s="162"/>
      <c r="B212" s="129">
        <v>203</v>
      </c>
      <c r="C212" s="106" t="s">
        <v>118</v>
      </c>
      <c r="D212" s="124" t="s">
        <v>47</v>
      </c>
      <c r="E212" s="210"/>
      <c r="F212" s="205">
        <v>2.2000000000000002</v>
      </c>
      <c r="G212" s="205"/>
      <c r="H212" s="205">
        <v>0.55000000000000004</v>
      </c>
      <c r="I212" s="205">
        <f>H212*0.03</f>
        <v>1.6500000000000001E-2</v>
      </c>
      <c r="J212" s="147">
        <f t="shared" si="47"/>
        <v>0</v>
      </c>
      <c r="K212" s="147">
        <f t="shared" si="48"/>
        <v>1.2100000000000002</v>
      </c>
      <c r="L212" s="147">
        <f t="shared" si="49"/>
        <v>3.6300000000000006E-2</v>
      </c>
      <c r="M212" s="147">
        <f t="shared" si="50"/>
        <v>1.2463000000000002</v>
      </c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13"/>
      <c r="CA212" s="113"/>
      <c r="CB212" s="113"/>
      <c r="CC212" s="113"/>
      <c r="CD212" s="113"/>
      <c r="CE212" s="113"/>
      <c r="CF212" s="113"/>
      <c r="CG212" s="113"/>
      <c r="CH212" s="113"/>
      <c r="CI212" s="113"/>
      <c r="CJ212" s="113"/>
      <c r="CK212" s="113"/>
    </row>
    <row r="213" spans="1:89" s="107" customFormat="1" ht="24">
      <c r="A213" s="159"/>
      <c r="B213" s="129">
        <v>204</v>
      </c>
      <c r="C213" s="142" t="s">
        <v>330</v>
      </c>
      <c r="D213" s="122" t="s">
        <v>6</v>
      </c>
      <c r="E213" s="207"/>
      <c r="F213" s="208">
        <v>29.5</v>
      </c>
      <c r="G213" s="208"/>
      <c r="H213" s="208"/>
      <c r="I213" s="208"/>
      <c r="J213" s="147">
        <f t="shared" ref="J213:J232" si="53">F213*G213</f>
        <v>0</v>
      </c>
      <c r="K213" s="147">
        <f t="shared" ref="K213:K232" si="54">F213*H213</f>
        <v>0</v>
      </c>
      <c r="L213" s="147">
        <f t="shared" ref="L213:L232" si="55">F213*I213</f>
        <v>0</v>
      </c>
      <c r="M213" s="147">
        <f t="shared" ref="M213:M232" si="56">J213+K213+L213</f>
        <v>0</v>
      </c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8"/>
      <c r="AK213" s="108"/>
      <c r="AL213" s="108"/>
      <c r="AM213" s="108"/>
      <c r="AN213" s="108"/>
      <c r="AO213" s="108"/>
      <c r="AP213" s="108"/>
      <c r="AQ213" s="108"/>
      <c r="AR213" s="108"/>
      <c r="AS213" s="108"/>
      <c r="AT213" s="108"/>
      <c r="AU213" s="108"/>
      <c r="AV213" s="108"/>
      <c r="AW213" s="108"/>
      <c r="AX213" s="108"/>
      <c r="AY213" s="108"/>
      <c r="AZ213" s="108"/>
      <c r="BA213" s="108"/>
      <c r="BB213" s="108"/>
      <c r="BC213" s="108"/>
      <c r="BD213" s="108"/>
      <c r="BE213" s="108"/>
      <c r="BF213" s="108"/>
      <c r="BG213" s="108"/>
      <c r="BH213" s="108"/>
      <c r="BI213" s="108"/>
      <c r="BJ213" s="108"/>
      <c r="BK213" s="108"/>
      <c r="BL213" s="108"/>
      <c r="BM213" s="108"/>
      <c r="BN213" s="108"/>
      <c r="BO213" s="108"/>
      <c r="BP213" s="108"/>
      <c r="BQ213" s="108"/>
      <c r="BR213" s="108"/>
      <c r="BS213" s="108"/>
      <c r="BT213" s="108"/>
      <c r="BU213" s="108"/>
      <c r="BV213" s="108"/>
      <c r="BW213" s="108"/>
      <c r="BX213" s="108"/>
      <c r="BY213" s="108"/>
      <c r="BZ213" s="108"/>
      <c r="CA213" s="108"/>
      <c r="CB213" s="108"/>
      <c r="CC213" s="108"/>
      <c r="CD213" s="108"/>
      <c r="CE213" s="108"/>
      <c r="CF213" s="108"/>
      <c r="CG213" s="108"/>
      <c r="CH213" s="108"/>
      <c r="CI213" s="108"/>
      <c r="CJ213" s="108"/>
      <c r="CK213" s="108"/>
    </row>
    <row r="214" spans="1:89">
      <c r="A214" s="160"/>
      <c r="B214" s="129">
        <v>205</v>
      </c>
      <c r="C214" s="110" t="s">
        <v>314</v>
      </c>
      <c r="D214" s="123" t="s">
        <v>273</v>
      </c>
      <c r="E214" s="204"/>
      <c r="F214" s="147">
        <v>12</v>
      </c>
      <c r="G214" s="147">
        <v>1.6</v>
      </c>
      <c r="H214" s="147">
        <v>0.25</v>
      </c>
      <c r="I214" s="147">
        <f t="shared" ref="I214:I220" si="57">G214*0.1</f>
        <v>0.16000000000000003</v>
      </c>
      <c r="J214" s="147">
        <f t="shared" si="53"/>
        <v>19.200000000000003</v>
      </c>
      <c r="K214" s="147">
        <f t="shared" si="54"/>
        <v>3</v>
      </c>
      <c r="L214" s="147">
        <f t="shared" si="55"/>
        <v>1.9200000000000004</v>
      </c>
      <c r="M214" s="147">
        <f t="shared" si="56"/>
        <v>24.120000000000005</v>
      </c>
      <c r="CD214" s="104"/>
      <c r="CE214" s="104"/>
      <c r="CF214" s="104"/>
      <c r="CG214" s="104"/>
      <c r="CH214" s="104"/>
      <c r="CI214" s="104"/>
      <c r="CJ214" s="104"/>
      <c r="CK214" s="104"/>
    </row>
    <row r="215" spans="1:89">
      <c r="A215" s="160"/>
      <c r="B215" s="129">
        <v>206</v>
      </c>
      <c r="C215" s="110" t="s">
        <v>335</v>
      </c>
      <c r="D215" s="123" t="s">
        <v>11</v>
      </c>
      <c r="E215" s="204"/>
      <c r="F215" s="147">
        <v>11</v>
      </c>
      <c r="G215" s="147">
        <v>1.1000000000000001</v>
      </c>
      <c r="H215" s="147">
        <v>0.15</v>
      </c>
      <c r="I215" s="147">
        <f t="shared" si="57"/>
        <v>0.11000000000000001</v>
      </c>
      <c r="J215" s="147">
        <f t="shared" si="53"/>
        <v>12.100000000000001</v>
      </c>
      <c r="K215" s="147">
        <f t="shared" si="54"/>
        <v>1.65</v>
      </c>
      <c r="L215" s="147">
        <f t="shared" si="55"/>
        <v>1.2100000000000002</v>
      </c>
      <c r="M215" s="147">
        <f t="shared" si="56"/>
        <v>14.960000000000003</v>
      </c>
      <c r="CD215" s="104"/>
      <c r="CE215" s="104"/>
      <c r="CF215" s="104"/>
      <c r="CG215" s="104"/>
      <c r="CH215" s="104"/>
      <c r="CI215" s="104"/>
      <c r="CJ215" s="104"/>
      <c r="CK215" s="104"/>
    </row>
    <row r="216" spans="1:89">
      <c r="A216" s="160"/>
      <c r="B216" s="129">
        <v>207</v>
      </c>
      <c r="C216" s="110" t="s">
        <v>286</v>
      </c>
      <c r="D216" s="123" t="s">
        <v>6</v>
      </c>
      <c r="E216" s="204"/>
      <c r="F216" s="147">
        <v>27</v>
      </c>
      <c r="G216" s="147">
        <v>0.65</v>
      </c>
      <c r="H216" s="147"/>
      <c r="I216" s="147">
        <f t="shared" si="57"/>
        <v>6.5000000000000002E-2</v>
      </c>
      <c r="J216" s="147">
        <f t="shared" si="53"/>
        <v>17.55</v>
      </c>
      <c r="K216" s="147">
        <f t="shared" si="54"/>
        <v>0</v>
      </c>
      <c r="L216" s="147">
        <f t="shared" si="55"/>
        <v>1.7550000000000001</v>
      </c>
      <c r="M216" s="147">
        <f t="shared" si="56"/>
        <v>19.305</v>
      </c>
      <c r="CD216" s="104"/>
      <c r="CE216" s="104"/>
      <c r="CF216" s="104"/>
      <c r="CG216" s="104"/>
      <c r="CH216" s="104"/>
      <c r="CI216" s="104"/>
      <c r="CJ216" s="104"/>
      <c r="CK216" s="104"/>
    </row>
    <row r="217" spans="1:89">
      <c r="A217" s="160"/>
      <c r="B217" s="129">
        <v>208</v>
      </c>
      <c r="C217" s="110" t="s">
        <v>315</v>
      </c>
      <c r="D217" s="123" t="s">
        <v>6</v>
      </c>
      <c r="E217" s="204"/>
      <c r="F217" s="147">
        <v>27</v>
      </c>
      <c r="G217" s="147">
        <v>7.4999999999999997E-2</v>
      </c>
      <c r="H217" s="147"/>
      <c r="I217" s="147">
        <f t="shared" si="57"/>
        <v>7.4999999999999997E-3</v>
      </c>
      <c r="J217" s="147">
        <f t="shared" si="53"/>
        <v>2.0249999999999999</v>
      </c>
      <c r="K217" s="147">
        <f t="shared" si="54"/>
        <v>0</v>
      </c>
      <c r="L217" s="147">
        <f t="shared" si="55"/>
        <v>0.20249999999999999</v>
      </c>
      <c r="M217" s="147">
        <f t="shared" si="56"/>
        <v>2.2275</v>
      </c>
      <c r="CD217" s="104"/>
      <c r="CE217" s="104"/>
      <c r="CF217" s="104"/>
      <c r="CG217" s="104"/>
      <c r="CH217" s="104"/>
      <c r="CI217" s="104"/>
      <c r="CJ217" s="104"/>
      <c r="CK217" s="104"/>
    </row>
    <row r="218" spans="1:89">
      <c r="A218" s="160"/>
      <c r="B218" s="129">
        <v>209</v>
      </c>
      <c r="C218" s="110" t="s">
        <v>316</v>
      </c>
      <c r="D218" s="123" t="s">
        <v>13</v>
      </c>
      <c r="E218" s="204"/>
      <c r="F218" s="147">
        <f>F216*0.2</f>
        <v>5.4</v>
      </c>
      <c r="G218" s="147">
        <v>0.15</v>
      </c>
      <c r="H218" s="147"/>
      <c r="I218" s="147">
        <f t="shared" si="57"/>
        <v>1.4999999999999999E-2</v>
      </c>
      <c r="J218" s="147">
        <f t="shared" si="53"/>
        <v>0.81</v>
      </c>
      <c r="K218" s="147">
        <f t="shared" si="54"/>
        <v>0</v>
      </c>
      <c r="L218" s="147">
        <f t="shared" si="55"/>
        <v>8.1000000000000003E-2</v>
      </c>
      <c r="M218" s="147">
        <f t="shared" si="56"/>
        <v>0.89100000000000001</v>
      </c>
      <c r="CD218" s="104"/>
      <c r="CE218" s="104"/>
      <c r="CF218" s="104"/>
      <c r="CG218" s="104"/>
      <c r="CH218" s="104"/>
      <c r="CI218" s="104"/>
      <c r="CJ218" s="104"/>
      <c r="CK218" s="104"/>
    </row>
    <row r="219" spans="1:89">
      <c r="A219" s="160"/>
      <c r="B219" s="129">
        <v>210</v>
      </c>
      <c r="C219" s="110" t="s">
        <v>317</v>
      </c>
      <c r="D219" s="123" t="s">
        <v>6</v>
      </c>
      <c r="E219" s="204"/>
      <c r="F219" s="147">
        <v>29.5</v>
      </c>
      <c r="G219" s="147">
        <v>0.55000000000000004</v>
      </c>
      <c r="H219" s="147"/>
      <c r="I219" s="147">
        <f t="shared" si="57"/>
        <v>5.5000000000000007E-2</v>
      </c>
      <c r="J219" s="147">
        <f t="shared" si="53"/>
        <v>16.225000000000001</v>
      </c>
      <c r="K219" s="147">
        <f t="shared" si="54"/>
        <v>0</v>
      </c>
      <c r="L219" s="147">
        <f t="shared" si="55"/>
        <v>1.6225000000000003</v>
      </c>
      <c r="M219" s="147">
        <f t="shared" si="56"/>
        <v>17.8475</v>
      </c>
      <c r="CD219" s="104"/>
      <c r="CE219" s="104"/>
      <c r="CF219" s="104"/>
      <c r="CG219" s="104"/>
      <c r="CH219" s="104"/>
      <c r="CI219" s="104"/>
      <c r="CJ219" s="104"/>
      <c r="CK219" s="104"/>
    </row>
    <row r="220" spans="1:89" ht="25.5" customHeight="1">
      <c r="A220" s="160"/>
      <c r="B220" s="129">
        <v>211</v>
      </c>
      <c r="C220" s="111" t="s">
        <v>336</v>
      </c>
      <c r="D220" s="123" t="s">
        <v>6</v>
      </c>
      <c r="E220" s="204"/>
      <c r="F220" s="147">
        <v>29.5</v>
      </c>
      <c r="G220" s="147">
        <v>1.5</v>
      </c>
      <c r="H220" s="147"/>
      <c r="I220" s="147">
        <f t="shared" si="57"/>
        <v>0.15000000000000002</v>
      </c>
      <c r="J220" s="147">
        <f t="shared" si="53"/>
        <v>44.25</v>
      </c>
      <c r="K220" s="147">
        <f t="shared" si="54"/>
        <v>0</v>
      </c>
      <c r="L220" s="147">
        <f t="shared" si="55"/>
        <v>4.4250000000000007</v>
      </c>
      <c r="M220" s="147">
        <f t="shared" si="56"/>
        <v>48.674999999999997</v>
      </c>
      <c r="CD220" s="104"/>
      <c r="CE220" s="104"/>
      <c r="CF220" s="104"/>
      <c r="CG220" s="104"/>
      <c r="CH220" s="104"/>
      <c r="CI220" s="104"/>
      <c r="CJ220" s="104"/>
      <c r="CK220" s="104"/>
    </row>
    <row r="221" spans="1:89" s="112" customFormat="1">
      <c r="A221" s="162"/>
      <c r="B221" s="129">
        <v>212</v>
      </c>
      <c r="C221" s="106" t="s">
        <v>320</v>
      </c>
      <c r="D221" s="124" t="s">
        <v>13</v>
      </c>
      <c r="E221" s="210"/>
      <c r="F221" s="205">
        <f>F214*0.15*0.2*1.1</f>
        <v>0.39600000000000002</v>
      </c>
      <c r="G221" s="205"/>
      <c r="H221" s="205">
        <v>79</v>
      </c>
      <c r="I221" s="205">
        <f t="shared" ref="I221:I229" si="58">H221*0.03</f>
        <v>2.37</v>
      </c>
      <c r="J221" s="147">
        <f t="shared" si="53"/>
        <v>0</v>
      </c>
      <c r="K221" s="147">
        <f t="shared" si="54"/>
        <v>31.284000000000002</v>
      </c>
      <c r="L221" s="147">
        <f t="shared" si="55"/>
        <v>0.93852000000000013</v>
      </c>
      <c r="M221" s="147">
        <f t="shared" si="56"/>
        <v>32.222520000000003</v>
      </c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13"/>
      <c r="CA221" s="113"/>
      <c r="CB221" s="113"/>
      <c r="CC221" s="113"/>
      <c r="CD221" s="113"/>
      <c r="CE221" s="113"/>
      <c r="CF221" s="113"/>
      <c r="CG221" s="113"/>
      <c r="CH221" s="113"/>
      <c r="CI221" s="113"/>
      <c r="CJ221" s="113"/>
      <c r="CK221" s="113"/>
    </row>
    <row r="222" spans="1:89" s="112" customFormat="1">
      <c r="A222" s="162"/>
      <c r="B222" s="129">
        <v>213</v>
      </c>
      <c r="C222" s="106" t="s">
        <v>321</v>
      </c>
      <c r="D222" s="124" t="s">
        <v>13</v>
      </c>
      <c r="E222" s="210"/>
      <c r="F222" s="205">
        <f>F215*4.5*0.1*0.2*1.1</f>
        <v>1.0890000000000002</v>
      </c>
      <c r="G222" s="205"/>
      <c r="H222" s="205">
        <v>79</v>
      </c>
      <c r="I222" s="205">
        <f t="shared" si="58"/>
        <v>2.37</v>
      </c>
      <c r="J222" s="147">
        <f t="shared" si="53"/>
        <v>0</v>
      </c>
      <c r="K222" s="147">
        <f t="shared" si="54"/>
        <v>86.03100000000002</v>
      </c>
      <c r="L222" s="147">
        <f t="shared" si="55"/>
        <v>2.5809300000000004</v>
      </c>
      <c r="M222" s="147">
        <f t="shared" si="56"/>
        <v>88.611930000000015</v>
      </c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  <c r="BQ222" s="113"/>
      <c r="BR222" s="113"/>
      <c r="BS222" s="113"/>
      <c r="BT222" s="113"/>
      <c r="BU222" s="113"/>
      <c r="BV222" s="113"/>
      <c r="BW222" s="113"/>
      <c r="BX222" s="113"/>
      <c r="BY222" s="113"/>
      <c r="BZ222" s="113"/>
      <c r="CA222" s="113"/>
      <c r="CB222" s="113"/>
      <c r="CC222" s="113"/>
      <c r="CD222" s="113"/>
      <c r="CE222" s="113"/>
      <c r="CF222" s="113"/>
      <c r="CG222" s="113"/>
      <c r="CH222" s="113"/>
      <c r="CI222" s="113"/>
      <c r="CJ222" s="113"/>
      <c r="CK222" s="113"/>
    </row>
    <row r="223" spans="1:89" s="112" customFormat="1">
      <c r="A223" s="162"/>
      <c r="B223" s="129">
        <v>214</v>
      </c>
      <c r="C223" s="106" t="s">
        <v>143</v>
      </c>
      <c r="D223" s="124" t="s">
        <v>11</v>
      </c>
      <c r="E223" s="210">
        <v>52</v>
      </c>
      <c r="F223" s="205">
        <v>22</v>
      </c>
      <c r="G223" s="205"/>
      <c r="H223" s="205">
        <v>0.65</v>
      </c>
      <c r="I223" s="205">
        <f t="shared" si="58"/>
        <v>1.95E-2</v>
      </c>
      <c r="J223" s="147">
        <f t="shared" si="53"/>
        <v>0</v>
      </c>
      <c r="K223" s="147">
        <f t="shared" si="54"/>
        <v>14.3</v>
      </c>
      <c r="L223" s="147">
        <f t="shared" si="55"/>
        <v>0.42899999999999999</v>
      </c>
      <c r="M223" s="147">
        <f t="shared" si="56"/>
        <v>14.729000000000001</v>
      </c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  <c r="BQ223" s="113"/>
      <c r="BR223" s="113"/>
      <c r="BS223" s="113"/>
      <c r="BT223" s="113"/>
      <c r="BU223" s="113"/>
      <c r="BV223" s="113"/>
      <c r="BW223" s="113"/>
      <c r="BX223" s="113"/>
      <c r="BY223" s="113"/>
      <c r="BZ223" s="113"/>
      <c r="CA223" s="113"/>
      <c r="CB223" s="113"/>
      <c r="CC223" s="113"/>
      <c r="CD223" s="113"/>
      <c r="CE223" s="113"/>
      <c r="CF223" s="113"/>
      <c r="CG223" s="113"/>
      <c r="CH223" s="113"/>
      <c r="CI223" s="113"/>
      <c r="CJ223" s="113"/>
      <c r="CK223" s="113"/>
    </row>
    <row r="224" spans="1:89" s="112" customFormat="1">
      <c r="A224" s="162"/>
      <c r="B224" s="129">
        <v>215</v>
      </c>
      <c r="C224" s="106" t="s">
        <v>322</v>
      </c>
      <c r="D224" s="124" t="s">
        <v>6</v>
      </c>
      <c r="E224" s="210"/>
      <c r="F224" s="205">
        <v>27</v>
      </c>
      <c r="G224" s="205"/>
      <c r="H224" s="205">
        <v>2</v>
      </c>
      <c r="I224" s="205">
        <f t="shared" si="58"/>
        <v>0.06</v>
      </c>
      <c r="J224" s="147">
        <f t="shared" si="53"/>
        <v>0</v>
      </c>
      <c r="K224" s="147">
        <f t="shared" si="54"/>
        <v>54</v>
      </c>
      <c r="L224" s="147">
        <f t="shared" si="55"/>
        <v>1.6199999999999999</v>
      </c>
      <c r="M224" s="147">
        <f t="shared" si="56"/>
        <v>55.62</v>
      </c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  <c r="BQ224" s="113"/>
      <c r="BR224" s="113"/>
      <c r="BS224" s="113"/>
      <c r="BT224" s="113"/>
      <c r="BU224" s="113"/>
      <c r="BV224" s="113"/>
      <c r="BW224" s="113"/>
      <c r="BX224" s="113"/>
      <c r="BY224" s="113"/>
      <c r="BZ224" s="113"/>
      <c r="CA224" s="113"/>
      <c r="CB224" s="113"/>
      <c r="CC224" s="113"/>
      <c r="CD224" s="113"/>
      <c r="CE224" s="113"/>
      <c r="CF224" s="113"/>
      <c r="CG224" s="113"/>
      <c r="CH224" s="113"/>
      <c r="CI224" s="113"/>
      <c r="CJ224" s="113"/>
      <c r="CK224" s="113"/>
    </row>
    <row r="225" spans="1:89" s="112" customFormat="1">
      <c r="A225" s="162"/>
      <c r="B225" s="129">
        <v>216</v>
      </c>
      <c r="C225" s="106" t="s">
        <v>29</v>
      </c>
      <c r="D225" s="124" t="s">
        <v>6</v>
      </c>
      <c r="E225" s="210">
        <v>110</v>
      </c>
      <c r="F225" s="205">
        <v>27</v>
      </c>
      <c r="G225" s="205"/>
      <c r="H225" s="205">
        <v>0.1</v>
      </c>
      <c r="I225" s="205">
        <f t="shared" si="58"/>
        <v>3.0000000000000001E-3</v>
      </c>
      <c r="J225" s="147">
        <f t="shared" si="53"/>
        <v>0</v>
      </c>
      <c r="K225" s="147">
        <f t="shared" si="54"/>
        <v>2.7</v>
      </c>
      <c r="L225" s="147">
        <f t="shared" si="55"/>
        <v>8.1000000000000003E-2</v>
      </c>
      <c r="M225" s="147">
        <f t="shared" si="56"/>
        <v>2.7810000000000001</v>
      </c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13"/>
      <c r="BY225" s="113"/>
      <c r="BZ225" s="113"/>
      <c r="CA225" s="113"/>
      <c r="CB225" s="113"/>
      <c r="CC225" s="113"/>
      <c r="CD225" s="113"/>
      <c r="CE225" s="113"/>
      <c r="CF225" s="113"/>
      <c r="CG225" s="113"/>
      <c r="CH225" s="113"/>
      <c r="CI225" s="113"/>
      <c r="CJ225" s="113"/>
      <c r="CK225" s="113"/>
    </row>
    <row r="226" spans="1:89" s="112" customFormat="1">
      <c r="A226" s="162"/>
      <c r="B226" s="129">
        <v>217</v>
      </c>
      <c r="C226" s="106" t="s">
        <v>323</v>
      </c>
      <c r="D226" s="124" t="s">
        <v>13</v>
      </c>
      <c r="E226" s="210">
        <v>11</v>
      </c>
      <c r="F226" s="205">
        <f>F225*0.2</f>
        <v>5.4</v>
      </c>
      <c r="G226" s="205"/>
      <c r="H226" s="205">
        <v>23</v>
      </c>
      <c r="I226" s="205">
        <f t="shared" si="58"/>
        <v>0.69</v>
      </c>
      <c r="J226" s="147">
        <f t="shared" si="53"/>
        <v>0</v>
      </c>
      <c r="K226" s="147">
        <f t="shared" si="54"/>
        <v>124.2</v>
      </c>
      <c r="L226" s="147">
        <f t="shared" si="55"/>
        <v>3.726</v>
      </c>
      <c r="M226" s="147">
        <f t="shared" si="56"/>
        <v>127.926</v>
      </c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  <c r="BZ226" s="113"/>
      <c r="CA226" s="113"/>
      <c r="CB226" s="113"/>
      <c r="CC226" s="113"/>
      <c r="CD226" s="113"/>
      <c r="CE226" s="113"/>
      <c r="CF226" s="113"/>
      <c r="CG226" s="113"/>
      <c r="CH226" s="113"/>
      <c r="CI226" s="113"/>
      <c r="CJ226" s="113"/>
      <c r="CK226" s="113"/>
    </row>
    <row r="227" spans="1:89" s="112" customFormat="1">
      <c r="A227" s="162"/>
      <c r="B227" s="129">
        <v>218</v>
      </c>
      <c r="C227" s="106" t="s">
        <v>133</v>
      </c>
      <c r="D227" s="124" t="s">
        <v>6</v>
      </c>
      <c r="E227" s="210">
        <v>77</v>
      </c>
      <c r="F227" s="205">
        <f>F220</f>
        <v>29.5</v>
      </c>
      <c r="G227" s="205"/>
      <c r="H227" s="205">
        <v>3.65</v>
      </c>
      <c r="I227" s="205">
        <f t="shared" si="58"/>
        <v>0.1095</v>
      </c>
      <c r="J227" s="147">
        <f t="shared" si="53"/>
        <v>0</v>
      </c>
      <c r="K227" s="147">
        <f t="shared" si="54"/>
        <v>107.675</v>
      </c>
      <c r="L227" s="147">
        <f t="shared" si="55"/>
        <v>3.2302499999999998</v>
      </c>
      <c r="M227" s="147">
        <f t="shared" si="56"/>
        <v>110.90525</v>
      </c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113"/>
      <c r="BT227" s="113"/>
      <c r="BU227" s="113"/>
      <c r="BV227" s="113"/>
      <c r="BW227" s="113"/>
      <c r="BX227" s="113"/>
      <c r="BY227" s="113"/>
      <c r="BZ227" s="113"/>
      <c r="CA227" s="113"/>
      <c r="CB227" s="113"/>
      <c r="CC227" s="113"/>
      <c r="CD227" s="113"/>
      <c r="CE227" s="113"/>
      <c r="CF227" s="113"/>
      <c r="CG227" s="113"/>
      <c r="CH227" s="113"/>
      <c r="CI227" s="113"/>
      <c r="CJ227" s="113"/>
      <c r="CK227" s="113"/>
    </row>
    <row r="228" spans="1:89">
      <c r="A228" s="160"/>
      <c r="B228" s="129">
        <v>219</v>
      </c>
      <c r="C228" s="106" t="s">
        <v>332</v>
      </c>
      <c r="D228" s="124" t="s">
        <v>6</v>
      </c>
      <c r="E228" s="204"/>
      <c r="F228" s="147">
        <f>F227*1.15</f>
        <v>33.924999999999997</v>
      </c>
      <c r="G228" s="147"/>
      <c r="H228" s="147">
        <f>2.5*0.6</f>
        <v>1.5</v>
      </c>
      <c r="I228" s="205">
        <f t="shared" si="58"/>
        <v>4.4999999999999998E-2</v>
      </c>
      <c r="J228" s="147">
        <f t="shared" si="53"/>
        <v>0</v>
      </c>
      <c r="K228" s="147">
        <f t="shared" si="54"/>
        <v>50.887499999999996</v>
      </c>
      <c r="L228" s="147">
        <f t="shared" si="55"/>
        <v>1.5266249999999999</v>
      </c>
      <c r="M228" s="147">
        <f t="shared" si="56"/>
        <v>52.414124999999999</v>
      </c>
      <c r="CD228" s="104"/>
      <c r="CE228" s="104"/>
      <c r="CF228" s="104"/>
      <c r="CG228" s="104"/>
      <c r="CH228" s="104"/>
      <c r="CI228" s="104"/>
      <c r="CJ228" s="104"/>
      <c r="CK228" s="104"/>
    </row>
    <row r="229" spans="1:89">
      <c r="A229" s="160"/>
      <c r="B229" s="129">
        <v>220</v>
      </c>
      <c r="C229" s="106" t="s">
        <v>339</v>
      </c>
      <c r="D229" s="124" t="s">
        <v>6</v>
      </c>
      <c r="E229" s="204"/>
      <c r="F229" s="147">
        <v>33.93</v>
      </c>
      <c r="G229" s="147"/>
      <c r="H229" s="147">
        <v>1.1200000000000001</v>
      </c>
      <c r="I229" s="205">
        <f t="shared" si="58"/>
        <v>3.3600000000000005E-2</v>
      </c>
      <c r="J229" s="147">
        <f t="shared" si="53"/>
        <v>0</v>
      </c>
      <c r="K229" s="147">
        <f t="shared" si="54"/>
        <v>38.001600000000003</v>
      </c>
      <c r="L229" s="147">
        <f t="shared" si="55"/>
        <v>1.1400480000000002</v>
      </c>
      <c r="M229" s="147">
        <f t="shared" si="56"/>
        <v>39.141648000000004</v>
      </c>
      <c r="CD229" s="104"/>
      <c r="CE229" s="104"/>
      <c r="CF229" s="104"/>
      <c r="CG229" s="104"/>
      <c r="CH229" s="104"/>
      <c r="CI229" s="104"/>
      <c r="CJ229" s="104"/>
      <c r="CK229" s="104"/>
    </row>
    <row r="230" spans="1:89" s="112" customFormat="1">
      <c r="A230" s="162"/>
      <c r="B230" s="129">
        <v>221</v>
      </c>
      <c r="C230" s="110" t="s">
        <v>329</v>
      </c>
      <c r="D230" s="124" t="s">
        <v>6</v>
      </c>
      <c r="E230" s="210"/>
      <c r="F230" s="205">
        <f>4.5*0.5</f>
        <v>2.25</v>
      </c>
      <c r="G230" s="147">
        <v>6.3</v>
      </c>
      <c r="H230" s="205"/>
      <c r="I230" s="147">
        <f>G230*0.1</f>
        <v>0.63</v>
      </c>
      <c r="J230" s="147">
        <f t="shared" si="53"/>
        <v>14.174999999999999</v>
      </c>
      <c r="K230" s="147">
        <f t="shared" si="54"/>
        <v>0</v>
      </c>
      <c r="L230" s="147">
        <f t="shared" si="55"/>
        <v>1.4175</v>
      </c>
      <c r="M230" s="147">
        <f t="shared" si="56"/>
        <v>15.592499999999999</v>
      </c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  <c r="BZ230" s="113"/>
      <c r="CA230" s="113"/>
      <c r="CB230" s="113"/>
      <c r="CC230" s="113"/>
      <c r="CD230" s="113"/>
      <c r="CE230" s="113"/>
      <c r="CF230" s="113"/>
      <c r="CG230" s="113"/>
      <c r="CH230" s="113"/>
      <c r="CI230" s="113"/>
      <c r="CJ230" s="113"/>
      <c r="CK230" s="113"/>
    </row>
    <row r="231" spans="1:89" s="112" customFormat="1">
      <c r="A231" s="162"/>
      <c r="B231" s="129">
        <v>222</v>
      </c>
      <c r="C231" s="106" t="s">
        <v>27</v>
      </c>
      <c r="D231" s="124" t="s">
        <v>13</v>
      </c>
      <c r="E231" s="210">
        <v>2.6</v>
      </c>
      <c r="F231" s="205">
        <v>0.1</v>
      </c>
      <c r="G231" s="205"/>
      <c r="H231" s="205">
        <v>79</v>
      </c>
      <c r="I231" s="205">
        <f>H231*0.03</f>
        <v>2.37</v>
      </c>
      <c r="J231" s="147">
        <f t="shared" si="53"/>
        <v>0</v>
      </c>
      <c r="K231" s="147">
        <f t="shared" si="54"/>
        <v>7.9</v>
      </c>
      <c r="L231" s="147">
        <f t="shared" si="55"/>
        <v>0.23700000000000002</v>
      </c>
      <c r="M231" s="147">
        <f t="shared" si="56"/>
        <v>8.1370000000000005</v>
      </c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  <c r="BZ231" s="113"/>
      <c r="CA231" s="113"/>
      <c r="CB231" s="113"/>
      <c r="CC231" s="113"/>
      <c r="CD231" s="113"/>
      <c r="CE231" s="113"/>
      <c r="CF231" s="113"/>
      <c r="CG231" s="113"/>
      <c r="CH231" s="113"/>
      <c r="CI231" s="113"/>
      <c r="CJ231" s="113"/>
      <c r="CK231" s="113"/>
    </row>
    <row r="232" spans="1:89" s="112" customFormat="1">
      <c r="A232" s="162"/>
      <c r="B232" s="129">
        <v>223</v>
      </c>
      <c r="C232" s="106" t="s">
        <v>118</v>
      </c>
      <c r="D232" s="124" t="s">
        <v>47</v>
      </c>
      <c r="E232" s="210"/>
      <c r="F232" s="205">
        <f>2.2/4</f>
        <v>0.55000000000000004</v>
      </c>
      <c r="G232" s="205"/>
      <c r="H232" s="205">
        <v>0.55000000000000004</v>
      </c>
      <c r="I232" s="205">
        <f>H232*0.03</f>
        <v>1.6500000000000001E-2</v>
      </c>
      <c r="J232" s="147">
        <f t="shared" si="53"/>
        <v>0</v>
      </c>
      <c r="K232" s="147">
        <f t="shared" si="54"/>
        <v>0.30250000000000005</v>
      </c>
      <c r="L232" s="147">
        <f t="shared" si="55"/>
        <v>9.0750000000000015E-3</v>
      </c>
      <c r="M232" s="147">
        <f t="shared" si="56"/>
        <v>0.31157500000000005</v>
      </c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  <c r="BQ232" s="113"/>
      <c r="BR232" s="113"/>
      <c r="BS232" s="113"/>
      <c r="BT232" s="113"/>
      <c r="BU232" s="113"/>
      <c r="BV232" s="113"/>
      <c r="BW232" s="113"/>
      <c r="BX232" s="113"/>
      <c r="BY232" s="113"/>
      <c r="BZ232" s="113"/>
      <c r="CA232" s="113"/>
      <c r="CB232" s="113"/>
      <c r="CC232" s="113"/>
      <c r="CD232" s="113"/>
      <c r="CE232" s="113"/>
      <c r="CF232" s="113"/>
      <c r="CG232" s="113"/>
      <c r="CH232" s="113"/>
      <c r="CI232" s="113"/>
      <c r="CJ232" s="113"/>
      <c r="CK232" s="113"/>
    </row>
    <row r="233" spans="1:89" s="107" customFormat="1" ht="24">
      <c r="A233" s="159"/>
      <c r="B233" s="129">
        <v>224</v>
      </c>
      <c r="C233" s="142" t="s">
        <v>334</v>
      </c>
      <c r="D233" s="122" t="s">
        <v>6</v>
      </c>
      <c r="E233" s="207"/>
      <c r="F233" s="208">
        <f>3.4*4.1</f>
        <v>13.939999999999998</v>
      </c>
      <c r="G233" s="208"/>
      <c r="H233" s="208"/>
      <c r="I233" s="208"/>
      <c r="J233" s="147">
        <f t="shared" ref="J233:J252" si="59">F233*G233</f>
        <v>0</v>
      </c>
      <c r="K233" s="147">
        <f t="shared" ref="K233:K252" si="60">F233*H233</f>
        <v>0</v>
      </c>
      <c r="L233" s="147">
        <f t="shared" ref="L233:L252" si="61">F233*I233</f>
        <v>0</v>
      </c>
      <c r="M233" s="147">
        <f t="shared" ref="M233:M252" si="62">J233+K233+L233</f>
        <v>0</v>
      </c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8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8"/>
      <c r="BN233" s="108"/>
      <c r="BO233" s="108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  <c r="BZ233" s="108"/>
      <c r="CA233" s="108"/>
      <c r="CB233" s="108"/>
      <c r="CC233" s="108"/>
      <c r="CD233" s="108"/>
      <c r="CE233" s="108"/>
      <c r="CF233" s="108"/>
      <c r="CG233" s="108"/>
      <c r="CH233" s="108"/>
      <c r="CI233" s="108"/>
      <c r="CJ233" s="108"/>
      <c r="CK233" s="108"/>
    </row>
    <row r="234" spans="1:89">
      <c r="A234" s="160"/>
      <c r="B234" s="129">
        <v>225</v>
      </c>
      <c r="C234" s="110" t="s">
        <v>314</v>
      </c>
      <c r="D234" s="123" t="s">
        <v>273</v>
      </c>
      <c r="E234" s="204"/>
      <c r="F234" s="147">
        <v>8.1999999999999993</v>
      </c>
      <c r="G234" s="147">
        <v>1.6</v>
      </c>
      <c r="H234" s="147">
        <v>0.25</v>
      </c>
      <c r="I234" s="147">
        <f t="shared" ref="I234:I240" si="63">G234*0.1</f>
        <v>0.16000000000000003</v>
      </c>
      <c r="J234" s="147">
        <f t="shared" si="59"/>
        <v>13.12</v>
      </c>
      <c r="K234" s="147">
        <f t="shared" si="60"/>
        <v>2.0499999999999998</v>
      </c>
      <c r="L234" s="147">
        <f t="shared" si="61"/>
        <v>1.3120000000000001</v>
      </c>
      <c r="M234" s="147">
        <f t="shared" si="62"/>
        <v>16.481999999999999</v>
      </c>
      <c r="CD234" s="104"/>
      <c r="CE234" s="104"/>
      <c r="CF234" s="104"/>
      <c r="CG234" s="104"/>
      <c r="CH234" s="104"/>
      <c r="CI234" s="104"/>
      <c r="CJ234" s="104"/>
      <c r="CK234" s="104"/>
    </row>
    <row r="235" spans="1:89">
      <c r="A235" s="160"/>
      <c r="B235" s="129">
        <v>226</v>
      </c>
      <c r="C235" s="110" t="s">
        <v>335</v>
      </c>
      <c r="D235" s="123" t="s">
        <v>11</v>
      </c>
      <c r="E235" s="204"/>
      <c r="F235" s="147">
        <v>7</v>
      </c>
      <c r="G235" s="147">
        <v>1.1000000000000001</v>
      </c>
      <c r="H235" s="147">
        <v>0.15</v>
      </c>
      <c r="I235" s="147">
        <f t="shared" si="63"/>
        <v>0.11000000000000001</v>
      </c>
      <c r="J235" s="147">
        <f t="shared" si="59"/>
        <v>7.7000000000000011</v>
      </c>
      <c r="K235" s="147">
        <f t="shared" si="60"/>
        <v>1.05</v>
      </c>
      <c r="L235" s="147">
        <f t="shared" si="61"/>
        <v>0.77000000000000013</v>
      </c>
      <c r="M235" s="147">
        <f t="shared" si="62"/>
        <v>9.5200000000000014</v>
      </c>
      <c r="CD235" s="104"/>
      <c r="CE235" s="104"/>
      <c r="CF235" s="104"/>
      <c r="CG235" s="104"/>
      <c r="CH235" s="104"/>
      <c r="CI235" s="104"/>
      <c r="CJ235" s="104"/>
      <c r="CK235" s="104"/>
    </row>
    <row r="236" spans="1:89">
      <c r="A236" s="160"/>
      <c r="B236" s="129">
        <v>227</v>
      </c>
      <c r="C236" s="110" t="s">
        <v>286</v>
      </c>
      <c r="D236" s="123" t="s">
        <v>6</v>
      </c>
      <c r="E236" s="204"/>
      <c r="F236" s="147">
        <v>9.84</v>
      </c>
      <c r="G236" s="147">
        <v>0.65</v>
      </c>
      <c r="H236" s="147"/>
      <c r="I236" s="147">
        <f t="shared" si="63"/>
        <v>6.5000000000000002E-2</v>
      </c>
      <c r="J236" s="147">
        <f t="shared" si="59"/>
        <v>6.3959999999999999</v>
      </c>
      <c r="K236" s="147">
        <f t="shared" si="60"/>
        <v>0</v>
      </c>
      <c r="L236" s="147">
        <f t="shared" si="61"/>
        <v>0.63960000000000006</v>
      </c>
      <c r="M236" s="147">
        <f t="shared" si="62"/>
        <v>7.0355999999999996</v>
      </c>
      <c r="CD236" s="104"/>
      <c r="CE236" s="104"/>
      <c r="CF236" s="104"/>
      <c r="CG236" s="104"/>
      <c r="CH236" s="104"/>
      <c r="CI236" s="104"/>
      <c r="CJ236" s="104"/>
      <c r="CK236" s="104"/>
    </row>
    <row r="237" spans="1:89">
      <c r="A237" s="160"/>
      <c r="B237" s="129">
        <v>228</v>
      </c>
      <c r="C237" s="110" t="s">
        <v>315</v>
      </c>
      <c r="D237" s="123" t="s">
        <v>6</v>
      </c>
      <c r="E237" s="204"/>
      <c r="F237" s="147">
        <v>9.84</v>
      </c>
      <c r="G237" s="147">
        <v>7.4999999999999997E-2</v>
      </c>
      <c r="H237" s="147"/>
      <c r="I237" s="147">
        <f t="shared" si="63"/>
        <v>7.4999999999999997E-3</v>
      </c>
      <c r="J237" s="147">
        <f t="shared" si="59"/>
        <v>0.73799999999999999</v>
      </c>
      <c r="K237" s="147">
        <f t="shared" si="60"/>
        <v>0</v>
      </c>
      <c r="L237" s="147">
        <f t="shared" si="61"/>
        <v>7.3799999999999991E-2</v>
      </c>
      <c r="M237" s="147">
        <f t="shared" si="62"/>
        <v>0.81179999999999997</v>
      </c>
      <c r="CD237" s="104"/>
      <c r="CE237" s="104"/>
      <c r="CF237" s="104"/>
      <c r="CG237" s="104"/>
      <c r="CH237" s="104"/>
      <c r="CI237" s="104"/>
      <c r="CJ237" s="104"/>
      <c r="CK237" s="104"/>
    </row>
    <row r="238" spans="1:89">
      <c r="A238" s="160"/>
      <c r="B238" s="129">
        <v>229</v>
      </c>
      <c r="C238" s="110" t="s">
        <v>316</v>
      </c>
      <c r="D238" s="123" t="s">
        <v>13</v>
      </c>
      <c r="E238" s="204"/>
      <c r="F238" s="147">
        <v>1.968</v>
      </c>
      <c r="G238" s="147">
        <v>0.15</v>
      </c>
      <c r="H238" s="147"/>
      <c r="I238" s="147">
        <f t="shared" si="63"/>
        <v>1.4999999999999999E-2</v>
      </c>
      <c r="J238" s="147">
        <f t="shared" si="59"/>
        <v>0.29519999999999996</v>
      </c>
      <c r="K238" s="147">
        <f t="shared" si="60"/>
        <v>0</v>
      </c>
      <c r="L238" s="147">
        <f t="shared" si="61"/>
        <v>2.9519999999999998E-2</v>
      </c>
      <c r="M238" s="147">
        <f t="shared" si="62"/>
        <v>0.32471999999999995</v>
      </c>
      <c r="CD238" s="104"/>
      <c r="CE238" s="104"/>
      <c r="CF238" s="104"/>
      <c r="CG238" s="104"/>
      <c r="CH238" s="104"/>
      <c r="CI238" s="104"/>
      <c r="CJ238" s="104"/>
      <c r="CK238" s="104"/>
    </row>
    <row r="239" spans="1:89">
      <c r="A239" s="160"/>
      <c r="B239" s="129">
        <v>230</v>
      </c>
      <c r="C239" s="110" t="s">
        <v>317</v>
      </c>
      <c r="D239" s="123" t="s">
        <v>6</v>
      </c>
      <c r="E239" s="204"/>
      <c r="F239" s="205">
        <v>13.94</v>
      </c>
      <c r="G239" s="147">
        <v>0.55000000000000004</v>
      </c>
      <c r="H239" s="147"/>
      <c r="I239" s="147">
        <f t="shared" si="63"/>
        <v>5.5000000000000007E-2</v>
      </c>
      <c r="J239" s="147">
        <f t="shared" si="59"/>
        <v>7.6670000000000007</v>
      </c>
      <c r="K239" s="147">
        <f t="shared" si="60"/>
        <v>0</v>
      </c>
      <c r="L239" s="147">
        <f t="shared" si="61"/>
        <v>0.76670000000000005</v>
      </c>
      <c r="M239" s="147">
        <f t="shared" si="62"/>
        <v>8.4337</v>
      </c>
      <c r="CD239" s="104"/>
      <c r="CE239" s="104"/>
      <c r="CF239" s="104"/>
      <c r="CG239" s="104"/>
      <c r="CH239" s="104"/>
      <c r="CI239" s="104"/>
      <c r="CJ239" s="104"/>
      <c r="CK239" s="104"/>
    </row>
    <row r="240" spans="1:89" ht="25.5" customHeight="1">
      <c r="A240" s="160"/>
      <c r="B240" s="129">
        <v>231</v>
      </c>
      <c r="C240" s="111" t="s">
        <v>336</v>
      </c>
      <c r="D240" s="123" t="s">
        <v>6</v>
      </c>
      <c r="E240" s="204"/>
      <c r="F240" s="147">
        <v>13.94</v>
      </c>
      <c r="G240" s="147">
        <v>1.5</v>
      </c>
      <c r="H240" s="147"/>
      <c r="I240" s="147">
        <f t="shared" si="63"/>
        <v>0.15000000000000002</v>
      </c>
      <c r="J240" s="147">
        <f t="shared" si="59"/>
        <v>20.91</v>
      </c>
      <c r="K240" s="147">
        <f t="shared" si="60"/>
        <v>0</v>
      </c>
      <c r="L240" s="147">
        <f t="shared" si="61"/>
        <v>2.0910000000000002</v>
      </c>
      <c r="M240" s="147">
        <f t="shared" si="62"/>
        <v>23.001000000000001</v>
      </c>
      <c r="CD240" s="104"/>
      <c r="CE240" s="104"/>
      <c r="CF240" s="104"/>
      <c r="CG240" s="104"/>
      <c r="CH240" s="104"/>
      <c r="CI240" s="104"/>
      <c r="CJ240" s="104"/>
      <c r="CK240" s="104"/>
    </row>
    <row r="241" spans="1:89" s="112" customFormat="1">
      <c r="A241" s="162"/>
      <c r="B241" s="129">
        <v>232</v>
      </c>
      <c r="C241" s="106" t="s">
        <v>320</v>
      </c>
      <c r="D241" s="124" t="s">
        <v>13</v>
      </c>
      <c r="E241" s="210"/>
      <c r="F241" s="205">
        <v>0.246</v>
      </c>
      <c r="G241" s="205"/>
      <c r="H241" s="205">
        <v>79</v>
      </c>
      <c r="I241" s="205">
        <f t="shared" ref="I241:I249" si="64">H241*0.03</f>
        <v>2.37</v>
      </c>
      <c r="J241" s="147">
        <f t="shared" si="59"/>
        <v>0</v>
      </c>
      <c r="K241" s="147">
        <f t="shared" si="60"/>
        <v>19.434000000000001</v>
      </c>
      <c r="L241" s="147">
        <f t="shared" si="61"/>
        <v>0.58301999999999998</v>
      </c>
      <c r="M241" s="147">
        <f t="shared" si="62"/>
        <v>20.017020000000002</v>
      </c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  <c r="BQ241" s="113"/>
      <c r="BR241" s="113"/>
      <c r="BS241" s="113"/>
      <c r="BT241" s="113"/>
      <c r="BU241" s="113"/>
      <c r="BV241" s="113"/>
      <c r="BW241" s="113"/>
      <c r="BX241" s="113"/>
      <c r="BY241" s="113"/>
      <c r="BZ241" s="113"/>
      <c r="CA241" s="113"/>
      <c r="CB241" s="113"/>
      <c r="CC241" s="113"/>
      <c r="CD241" s="113"/>
      <c r="CE241" s="113"/>
      <c r="CF241" s="113"/>
      <c r="CG241" s="113"/>
      <c r="CH241" s="113"/>
      <c r="CI241" s="113"/>
      <c r="CJ241" s="113"/>
      <c r="CK241" s="113"/>
    </row>
    <row r="242" spans="1:89" s="112" customFormat="1">
      <c r="A242" s="162"/>
      <c r="B242" s="129">
        <v>233</v>
      </c>
      <c r="C242" s="106" t="s">
        <v>321</v>
      </c>
      <c r="D242" s="124" t="s">
        <v>13</v>
      </c>
      <c r="E242" s="210"/>
      <c r="F242" s="205">
        <v>0.154</v>
      </c>
      <c r="G242" s="205"/>
      <c r="H242" s="205">
        <v>79</v>
      </c>
      <c r="I242" s="205">
        <f t="shared" si="64"/>
        <v>2.37</v>
      </c>
      <c r="J242" s="147">
        <f t="shared" si="59"/>
        <v>0</v>
      </c>
      <c r="K242" s="147">
        <f t="shared" si="60"/>
        <v>12.166</v>
      </c>
      <c r="L242" s="147">
        <f t="shared" si="61"/>
        <v>0.36498000000000003</v>
      </c>
      <c r="M242" s="147">
        <f t="shared" si="62"/>
        <v>12.53098</v>
      </c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3"/>
      <c r="BM242" s="113"/>
      <c r="BN242" s="113"/>
      <c r="BO242" s="113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  <c r="BZ242" s="113"/>
      <c r="CA242" s="113"/>
      <c r="CB242" s="113"/>
      <c r="CC242" s="113"/>
      <c r="CD242" s="113"/>
      <c r="CE242" s="113"/>
      <c r="CF242" s="113"/>
      <c r="CG242" s="113"/>
      <c r="CH242" s="113"/>
      <c r="CI242" s="113"/>
      <c r="CJ242" s="113"/>
      <c r="CK242" s="113"/>
    </row>
    <row r="243" spans="1:89" s="112" customFormat="1">
      <c r="A243" s="162"/>
      <c r="B243" s="129">
        <v>234</v>
      </c>
      <c r="C243" s="106" t="s">
        <v>143</v>
      </c>
      <c r="D243" s="124" t="s">
        <v>11</v>
      </c>
      <c r="E243" s="210">
        <v>52</v>
      </c>
      <c r="F243" s="205">
        <v>14</v>
      </c>
      <c r="G243" s="205"/>
      <c r="H243" s="205">
        <v>0.65</v>
      </c>
      <c r="I243" s="205">
        <f t="shared" si="64"/>
        <v>1.95E-2</v>
      </c>
      <c r="J243" s="147">
        <f t="shared" si="59"/>
        <v>0</v>
      </c>
      <c r="K243" s="147">
        <f t="shared" si="60"/>
        <v>9.1</v>
      </c>
      <c r="L243" s="147">
        <f t="shared" si="61"/>
        <v>0.27300000000000002</v>
      </c>
      <c r="M243" s="147">
        <f t="shared" si="62"/>
        <v>9.3729999999999993</v>
      </c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13"/>
      <c r="BM243" s="113"/>
      <c r="BN243" s="113"/>
      <c r="BO243" s="113"/>
      <c r="BP243" s="113"/>
      <c r="BQ243" s="113"/>
      <c r="BR243" s="113"/>
      <c r="BS243" s="113"/>
      <c r="BT243" s="113"/>
      <c r="BU243" s="113"/>
      <c r="BV243" s="113"/>
      <c r="BW243" s="113"/>
      <c r="BX243" s="113"/>
      <c r="BY243" s="113"/>
      <c r="BZ243" s="113"/>
      <c r="CA243" s="113"/>
      <c r="CB243" s="113"/>
      <c r="CC243" s="113"/>
      <c r="CD243" s="113"/>
      <c r="CE243" s="113"/>
      <c r="CF243" s="113"/>
      <c r="CG243" s="113"/>
      <c r="CH243" s="113"/>
      <c r="CI243" s="113"/>
      <c r="CJ243" s="113"/>
      <c r="CK243" s="113"/>
    </row>
    <row r="244" spans="1:89" s="112" customFormat="1">
      <c r="A244" s="162"/>
      <c r="B244" s="129">
        <v>235</v>
      </c>
      <c r="C244" s="106" t="s">
        <v>322</v>
      </c>
      <c r="D244" s="124" t="s">
        <v>6</v>
      </c>
      <c r="E244" s="210"/>
      <c r="F244" s="205">
        <f>F237</f>
        <v>9.84</v>
      </c>
      <c r="G244" s="205"/>
      <c r="H244" s="205">
        <v>2</v>
      </c>
      <c r="I244" s="205">
        <f t="shared" si="64"/>
        <v>0.06</v>
      </c>
      <c r="J244" s="147">
        <f t="shared" si="59"/>
        <v>0</v>
      </c>
      <c r="K244" s="147">
        <f t="shared" si="60"/>
        <v>19.68</v>
      </c>
      <c r="L244" s="147">
        <f t="shared" si="61"/>
        <v>0.59039999999999992</v>
      </c>
      <c r="M244" s="147">
        <f t="shared" si="62"/>
        <v>20.270399999999999</v>
      </c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3"/>
      <c r="BM244" s="113"/>
      <c r="BN244" s="113"/>
      <c r="BO244" s="113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  <c r="BZ244" s="113"/>
      <c r="CA244" s="113"/>
      <c r="CB244" s="113"/>
      <c r="CC244" s="113"/>
      <c r="CD244" s="113"/>
      <c r="CE244" s="113"/>
      <c r="CF244" s="113"/>
      <c r="CG244" s="113"/>
      <c r="CH244" s="113"/>
      <c r="CI244" s="113"/>
      <c r="CJ244" s="113"/>
      <c r="CK244" s="113"/>
    </row>
    <row r="245" spans="1:89" s="112" customFormat="1">
      <c r="A245" s="162"/>
      <c r="B245" s="129">
        <v>236</v>
      </c>
      <c r="C245" s="106" t="s">
        <v>29</v>
      </c>
      <c r="D245" s="124" t="s">
        <v>6</v>
      </c>
      <c r="E245" s="210">
        <v>110</v>
      </c>
      <c r="F245" s="205">
        <f>SUM(F244)</f>
        <v>9.84</v>
      </c>
      <c r="G245" s="205"/>
      <c r="H245" s="205">
        <v>0.1</v>
      </c>
      <c r="I245" s="205">
        <f t="shared" si="64"/>
        <v>3.0000000000000001E-3</v>
      </c>
      <c r="J245" s="147">
        <f t="shared" si="59"/>
        <v>0</v>
      </c>
      <c r="K245" s="147">
        <f t="shared" si="60"/>
        <v>0.98399999999999999</v>
      </c>
      <c r="L245" s="147">
        <f t="shared" si="61"/>
        <v>2.9520000000000001E-2</v>
      </c>
      <c r="M245" s="147">
        <f t="shared" si="62"/>
        <v>1.01352</v>
      </c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  <c r="BZ245" s="113"/>
      <c r="CA245" s="113"/>
      <c r="CB245" s="113"/>
      <c r="CC245" s="113"/>
      <c r="CD245" s="113"/>
      <c r="CE245" s="113"/>
      <c r="CF245" s="113"/>
      <c r="CG245" s="113"/>
      <c r="CH245" s="113"/>
      <c r="CI245" s="113"/>
      <c r="CJ245" s="113"/>
      <c r="CK245" s="113"/>
    </row>
    <row r="246" spans="1:89" s="112" customFormat="1">
      <c r="A246" s="162"/>
      <c r="B246" s="129">
        <v>237</v>
      </c>
      <c r="C246" s="106" t="s">
        <v>323</v>
      </c>
      <c r="D246" s="124" t="s">
        <v>13</v>
      </c>
      <c r="E246" s="210">
        <v>11</v>
      </c>
      <c r="F246" s="205">
        <f>F238</f>
        <v>1.968</v>
      </c>
      <c r="G246" s="205"/>
      <c r="H246" s="205">
        <v>23</v>
      </c>
      <c r="I246" s="205">
        <f t="shared" si="64"/>
        <v>0.69</v>
      </c>
      <c r="J246" s="147">
        <f t="shared" si="59"/>
        <v>0</v>
      </c>
      <c r="K246" s="147">
        <f t="shared" si="60"/>
        <v>45.263999999999996</v>
      </c>
      <c r="L246" s="147">
        <f t="shared" si="61"/>
        <v>1.3579199999999998</v>
      </c>
      <c r="M246" s="147">
        <f t="shared" si="62"/>
        <v>46.621919999999996</v>
      </c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3"/>
      <c r="CA246" s="113"/>
      <c r="CB246" s="113"/>
      <c r="CC246" s="113"/>
      <c r="CD246" s="113"/>
      <c r="CE246" s="113"/>
      <c r="CF246" s="113"/>
      <c r="CG246" s="113"/>
      <c r="CH246" s="113"/>
      <c r="CI246" s="113"/>
      <c r="CJ246" s="113"/>
      <c r="CK246" s="113"/>
    </row>
    <row r="247" spans="1:89" s="112" customFormat="1">
      <c r="A247" s="162"/>
      <c r="B247" s="129">
        <v>238</v>
      </c>
      <c r="C247" s="106" t="s">
        <v>133</v>
      </c>
      <c r="D247" s="124" t="s">
        <v>6</v>
      </c>
      <c r="E247" s="210">
        <v>77</v>
      </c>
      <c r="F247" s="205">
        <f>F233</f>
        <v>13.939999999999998</v>
      </c>
      <c r="G247" s="205"/>
      <c r="H247" s="205">
        <v>3.65</v>
      </c>
      <c r="I247" s="205">
        <f t="shared" si="64"/>
        <v>0.1095</v>
      </c>
      <c r="J247" s="147">
        <f t="shared" si="59"/>
        <v>0</v>
      </c>
      <c r="K247" s="147">
        <f t="shared" si="60"/>
        <v>50.880999999999993</v>
      </c>
      <c r="L247" s="147">
        <f t="shared" si="61"/>
        <v>1.5264299999999997</v>
      </c>
      <c r="M247" s="147">
        <f t="shared" si="62"/>
        <v>52.407429999999991</v>
      </c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3"/>
      <c r="BM247" s="113"/>
      <c r="BN247" s="113"/>
      <c r="BO247" s="113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13"/>
      <c r="CA247" s="113"/>
      <c r="CB247" s="113"/>
      <c r="CC247" s="113"/>
      <c r="CD247" s="113"/>
      <c r="CE247" s="113"/>
      <c r="CF247" s="113"/>
      <c r="CG247" s="113"/>
      <c r="CH247" s="113"/>
      <c r="CI247" s="113"/>
      <c r="CJ247" s="113"/>
      <c r="CK247" s="113"/>
    </row>
    <row r="248" spans="1:89">
      <c r="A248" s="160"/>
      <c r="B248" s="129">
        <v>239</v>
      </c>
      <c r="C248" s="106" t="s">
        <v>339</v>
      </c>
      <c r="D248" s="123" t="s">
        <v>6</v>
      </c>
      <c r="E248" s="204"/>
      <c r="F248" s="147">
        <f>F247*1.15</f>
        <v>16.030999999999995</v>
      </c>
      <c r="G248" s="147"/>
      <c r="H248" s="147">
        <v>1.1200000000000001</v>
      </c>
      <c r="I248" s="205">
        <f t="shared" si="64"/>
        <v>3.3600000000000005E-2</v>
      </c>
      <c r="J248" s="147">
        <f t="shared" si="59"/>
        <v>0</v>
      </c>
      <c r="K248" s="147">
        <f t="shared" si="60"/>
        <v>17.954719999999995</v>
      </c>
      <c r="L248" s="147">
        <f t="shared" si="61"/>
        <v>0.53864159999999994</v>
      </c>
      <c r="M248" s="147">
        <f t="shared" si="62"/>
        <v>18.493361599999993</v>
      </c>
      <c r="CD248" s="104"/>
      <c r="CE248" s="104"/>
      <c r="CF248" s="104"/>
      <c r="CG248" s="104"/>
      <c r="CH248" s="104"/>
      <c r="CI248" s="104"/>
      <c r="CJ248" s="104"/>
      <c r="CK248" s="104"/>
    </row>
    <row r="249" spans="1:89">
      <c r="A249" s="160"/>
      <c r="B249" s="129">
        <v>240</v>
      </c>
      <c r="C249" s="106" t="s">
        <v>340</v>
      </c>
      <c r="D249" s="123" t="s">
        <v>6</v>
      </c>
      <c r="E249" s="204"/>
      <c r="F249" s="147">
        <v>16.030999999999999</v>
      </c>
      <c r="G249" s="147"/>
      <c r="H249" s="147">
        <v>1.98</v>
      </c>
      <c r="I249" s="205">
        <f t="shared" si="64"/>
        <v>5.9399999999999994E-2</v>
      </c>
      <c r="J249" s="147">
        <f t="shared" si="59"/>
        <v>0</v>
      </c>
      <c r="K249" s="147">
        <f t="shared" si="60"/>
        <v>31.741379999999996</v>
      </c>
      <c r="L249" s="147">
        <f t="shared" si="61"/>
        <v>0.95224139999999979</v>
      </c>
      <c r="M249" s="147">
        <f t="shared" si="62"/>
        <v>32.693621399999998</v>
      </c>
      <c r="CD249" s="104"/>
      <c r="CE249" s="104"/>
      <c r="CF249" s="104"/>
      <c r="CG249" s="104"/>
      <c r="CH249" s="104"/>
      <c r="CI249" s="104"/>
      <c r="CJ249" s="104"/>
      <c r="CK249" s="104"/>
    </row>
    <row r="250" spans="1:89" s="112" customFormat="1">
      <c r="A250" s="162"/>
      <c r="B250" s="129">
        <v>241</v>
      </c>
      <c r="C250" s="110" t="s">
        <v>329</v>
      </c>
      <c r="D250" s="124" t="s">
        <v>6</v>
      </c>
      <c r="E250" s="210"/>
      <c r="F250" s="205">
        <f>4.1*0.8</f>
        <v>3.28</v>
      </c>
      <c r="G250" s="205">
        <v>6.3</v>
      </c>
      <c r="H250" s="205"/>
      <c r="I250" s="147">
        <f>G250*0.1</f>
        <v>0.63</v>
      </c>
      <c r="J250" s="147">
        <f t="shared" si="59"/>
        <v>20.663999999999998</v>
      </c>
      <c r="K250" s="147">
        <f t="shared" si="60"/>
        <v>0</v>
      </c>
      <c r="L250" s="147">
        <f t="shared" si="61"/>
        <v>2.0663999999999998</v>
      </c>
      <c r="M250" s="147">
        <f t="shared" si="62"/>
        <v>22.730399999999996</v>
      </c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13"/>
      <c r="BM250" s="113"/>
      <c r="BN250" s="113"/>
      <c r="BO250" s="113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  <c r="BZ250" s="113"/>
      <c r="CA250" s="113"/>
      <c r="CB250" s="113"/>
      <c r="CC250" s="113"/>
      <c r="CD250" s="113"/>
      <c r="CE250" s="113"/>
      <c r="CF250" s="113"/>
      <c r="CG250" s="113"/>
      <c r="CH250" s="113"/>
      <c r="CI250" s="113"/>
      <c r="CJ250" s="113"/>
      <c r="CK250" s="113"/>
    </row>
    <row r="251" spans="1:89" s="112" customFormat="1">
      <c r="A251" s="162"/>
      <c r="B251" s="129">
        <v>242</v>
      </c>
      <c r="C251" s="106" t="s">
        <v>27</v>
      </c>
      <c r="D251" s="124" t="s">
        <v>13</v>
      </c>
      <c r="E251" s="210">
        <v>2.6</v>
      </c>
      <c r="F251" s="205">
        <f>F250*0.035</f>
        <v>0.1148</v>
      </c>
      <c r="G251" s="205"/>
      <c r="H251" s="205">
        <v>79</v>
      </c>
      <c r="I251" s="205">
        <f>H251*0.03</f>
        <v>2.37</v>
      </c>
      <c r="J251" s="147">
        <f t="shared" si="59"/>
        <v>0</v>
      </c>
      <c r="K251" s="147">
        <f t="shared" si="60"/>
        <v>9.0692000000000004</v>
      </c>
      <c r="L251" s="147">
        <f t="shared" si="61"/>
        <v>0.27207599999999998</v>
      </c>
      <c r="M251" s="147">
        <f t="shared" si="62"/>
        <v>9.3412760000000006</v>
      </c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  <c r="BZ251" s="113"/>
      <c r="CA251" s="113"/>
      <c r="CB251" s="113"/>
      <c r="CC251" s="113"/>
      <c r="CD251" s="113"/>
      <c r="CE251" s="113"/>
      <c r="CF251" s="113"/>
      <c r="CG251" s="113"/>
      <c r="CH251" s="113"/>
      <c r="CI251" s="113"/>
      <c r="CJ251" s="113"/>
      <c r="CK251" s="113"/>
    </row>
    <row r="252" spans="1:89" s="112" customFormat="1">
      <c r="A252" s="162"/>
      <c r="B252" s="129">
        <v>243</v>
      </c>
      <c r="C252" s="106" t="s">
        <v>118</v>
      </c>
      <c r="D252" s="124" t="s">
        <v>47</v>
      </c>
      <c r="E252" s="210"/>
      <c r="F252" s="205">
        <v>0.69</v>
      </c>
      <c r="G252" s="205"/>
      <c r="H252" s="205">
        <v>0.45</v>
      </c>
      <c r="I252" s="205">
        <f>H252*0.03</f>
        <v>1.35E-2</v>
      </c>
      <c r="J252" s="147">
        <f t="shared" si="59"/>
        <v>0</v>
      </c>
      <c r="K252" s="147">
        <f t="shared" si="60"/>
        <v>0.3105</v>
      </c>
      <c r="L252" s="147">
        <f t="shared" si="61"/>
        <v>9.3149999999999986E-3</v>
      </c>
      <c r="M252" s="147">
        <f t="shared" si="62"/>
        <v>0.31981500000000002</v>
      </c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13"/>
      <c r="BM252" s="113"/>
      <c r="BN252" s="113"/>
      <c r="BO252" s="113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  <c r="BZ252" s="113"/>
      <c r="CA252" s="113"/>
      <c r="CB252" s="113"/>
      <c r="CC252" s="113"/>
      <c r="CD252" s="113"/>
      <c r="CE252" s="113"/>
      <c r="CF252" s="113"/>
      <c r="CG252" s="113"/>
      <c r="CH252" s="113"/>
      <c r="CI252" s="113"/>
      <c r="CJ252" s="113"/>
      <c r="CK252" s="113"/>
    </row>
    <row r="253" spans="1:89" s="107" customFormat="1">
      <c r="A253" s="159"/>
      <c r="B253" s="129">
        <v>244</v>
      </c>
      <c r="C253" s="114" t="s">
        <v>144</v>
      </c>
      <c r="D253" s="122" t="s">
        <v>6</v>
      </c>
      <c r="E253" s="207">
        <v>22.72</v>
      </c>
      <c r="F253" s="208">
        <v>37.799999999999997</v>
      </c>
      <c r="G253" s="208"/>
      <c r="H253" s="208"/>
      <c r="I253" s="208"/>
      <c r="J253" s="147">
        <f t="shared" ref="J253:J284" si="65">F253*G253</f>
        <v>0</v>
      </c>
      <c r="K253" s="147">
        <f t="shared" ref="K253:K284" si="66">F253*H253</f>
        <v>0</v>
      </c>
      <c r="L253" s="147">
        <f t="shared" ref="L253:L284" si="67">F253*I253</f>
        <v>0</v>
      </c>
      <c r="M253" s="147">
        <f t="shared" ref="M253:M284" si="68">J253+K253+L253</f>
        <v>0</v>
      </c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08"/>
      <c r="BY253" s="108"/>
      <c r="BZ253" s="108"/>
      <c r="CA253" s="108"/>
      <c r="CB253" s="108"/>
      <c r="CC253" s="108"/>
      <c r="CD253" s="108"/>
      <c r="CE253" s="108"/>
      <c r="CF253" s="108"/>
      <c r="CG253" s="108"/>
      <c r="CH253" s="108"/>
      <c r="CI253" s="108"/>
      <c r="CJ253" s="108"/>
      <c r="CK253" s="108"/>
    </row>
    <row r="254" spans="1:89">
      <c r="A254" s="160"/>
      <c r="B254" s="129">
        <v>245</v>
      </c>
      <c r="C254" s="101" t="s">
        <v>337</v>
      </c>
      <c r="D254" s="124" t="s">
        <v>11</v>
      </c>
      <c r="E254" s="204"/>
      <c r="F254" s="147">
        <v>1</v>
      </c>
      <c r="G254" s="147">
        <v>3</v>
      </c>
      <c r="H254" s="147">
        <v>0.25</v>
      </c>
      <c r="I254" s="147">
        <f>G254*0.1</f>
        <v>0.30000000000000004</v>
      </c>
      <c r="J254" s="147">
        <f t="shared" si="65"/>
        <v>3</v>
      </c>
      <c r="K254" s="147">
        <f t="shared" si="66"/>
        <v>0.25</v>
      </c>
      <c r="L254" s="147">
        <f t="shared" si="67"/>
        <v>0.30000000000000004</v>
      </c>
      <c r="M254" s="147">
        <f t="shared" si="68"/>
        <v>3.55</v>
      </c>
      <c r="CD254" s="104"/>
      <c r="CE254" s="104"/>
      <c r="CF254" s="104"/>
      <c r="CG254" s="104"/>
      <c r="CH254" s="104"/>
      <c r="CI254" s="104"/>
      <c r="CJ254" s="104"/>
      <c r="CK254" s="104"/>
    </row>
    <row r="255" spans="1:89" s="112" customFormat="1">
      <c r="A255" s="162"/>
      <c r="B255" s="129">
        <v>246</v>
      </c>
      <c r="C255" s="106" t="s">
        <v>235</v>
      </c>
      <c r="D255" s="124" t="s">
        <v>13</v>
      </c>
      <c r="E255" s="210"/>
      <c r="F255" s="205">
        <f>3*0.1*0.15</f>
        <v>4.5000000000000005E-2</v>
      </c>
      <c r="G255" s="205"/>
      <c r="H255" s="205">
        <v>79</v>
      </c>
      <c r="I255" s="205">
        <f>H255*0.03</f>
        <v>2.37</v>
      </c>
      <c r="J255" s="147">
        <f t="shared" si="65"/>
        <v>0</v>
      </c>
      <c r="K255" s="147">
        <f t="shared" si="66"/>
        <v>3.5550000000000006</v>
      </c>
      <c r="L255" s="147">
        <f t="shared" si="67"/>
        <v>0.10665000000000002</v>
      </c>
      <c r="M255" s="147">
        <f t="shared" si="68"/>
        <v>3.6616500000000007</v>
      </c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13"/>
      <c r="CA255" s="113"/>
      <c r="CB255" s="113"/>
      <c r="CC255" s="113"/>
      <c r="CD255" s="113"/>
      <c r="CE255" s="113"/>
      <c r="CF255" s="113"/>
      <c r="CG255" s="113"/>
      <c r="CH255" s="113"/>
      <c r="CI255" s="113"/>
      <c r="CJ255" s="113"/>
      <c r="CK255" s="113"/>
    </row>
    <row r="256" spans="1:89">
      <c r="A256" s="160"/>
      <c r="B256" s="129">
        <v>247</v>
      </c>
      <c r="C256" s="110" t="s">
        <v>314</v>
      </c>
      <c r="D256" s="123" t="s">
        <v>273</v>
      </c>
      <c r="E256" s="204"/>
      <c r="F256" s="147">
        <v>19</v>
      </c>
      <c r="G256" s="147">
        <v>1.6</v>
      </c>
      <c r="H256" s="147">
        <v>0.25</v>
      </c>
      <c r="I256" s="147">
        <f t="shared" ref="I256:I265" si="69">G256*0.1</f>
        <v>0.16000000000000003</v>
      </c>
      <c r="J256" s="147">
        <f t="shared" si="65"/>
        <v>30.400000000000002</v>
      </c>
      <c r="K256" s="147">
        <f t="shared" si="66"/>
        <v>4.75</v>
      </c>
      <c r="L256" s="147">
        <f t="shared" si="67"/>
        <v>3.0400000000000005</v>
      </c>
      <c r="M256" s="147">
        <f t="shared" si="68"/>
        <v>38.190000000000005</v>
      </c>
      <c r="CD256" s="104"/>
      <c r="CE256" s="104"/>
      <c r="CF256" s="104"/>
      <c r="CG256" s="104"/>
      <c r="CH256" s="104"/>
      <c r="CI256" s="104"/>
      <c r="CJ256" s="104"/>
      <c r="CK256" s="104"/>
    </row>
    <row r="257" spans="1:89">
      <c r="A257" s="160"/>
      <c r="B257" s="129">
        <v>248</v>
      </c>
      <c r="C257" s="110" t="s">
        <v>335</v>
      </c>
      <c r="D257" s="123" t="s">
        <v>11</v>
      </c>
      <c r="E257" s="204"/>
      <c r="F257" s="147">
        <v>16</v>
      </c>
      <c r="G257" s="147">
        <v>1.1000000000000001</v>
      </c>
      <c r="H257" s="147">
        <v>0.15</v>
      </c>
      <c r="I257" s="147">
        <f t="shared" si="69"/>
        <v>0.11000000000000001</v>
      </c>
      <c r="J257" s="147">
        <f t="shared" si="65"/>
        <v>17.600000000000001</v>
      </c>
      <c r="K257" s="147">
        <f t="shared" si="66"/>
        <v>2.4</v>
      </c>
      <c r="L257" s="147">
        <f t="shared" si="67"/>
        <v>1.7600000000000002</v>
      </c>
      <c r="M257" s="147">
        <f t="shared" si="68"/>
        <v>21.76</v>
      </c>
      <c r="CD257" s="104"/>
      <c r="CE257" s="104"/>
      <c r="CF257" s="104"/>
      <c r="CG257" s="104"/>
      <c r="CH257" s="104"/>
      <c r="CI257" s="104"/>
      <c r="CJ257" s="104"/>
      <c r="CK257" s="104"/>
    </row>
    <row r="258" spans="1:89">
      <c r="A258" s="160"/>
      <c r="B258" s="129">
        <v>249</v>
      </c>
      <c r="C258" s="110" t="s">
        <v>286</v>
      </c>
      <c r="D258" s="123" t="s">
        <v>6</v>
      </c>
      <c r="E258" s="204"/>
      <c r="F258" s="147">
        <f>3.6*8.5</f>
        <v>30.6</v>
      </c>
      <c r="G258" s="147">
        <v>0.65</v>
      </c>
      <c r="H258" s="147"/>
      <c r="I258" s="147">
        <f t="shared" si="69"/>
        <v>6.5000000000000002E-2</v>
      </c>
      <c r="J258" s="147">
        <f t="shared" si="65"/>
        <v>19.89</v>
      </c>
      <c r="K258" s="147">
        <f t="shared" si="66"/>
        <v>0</v>
      </c>
      <c r="L258" s="147">
        <f t="shared" si="67"/>
        <v>1.9890000000000001</v>
      </c>
      <c r="M258" s="147">
        <f t="shared" si="68"/>
        <v>21.879000000000001</v>
      </c>
      <c r="CD258" s="104"/>
      <c r="CE258" s="104"/>
      <c r="CF258" s="104"/>
      <c r="CG258" s="104"/>
      <c r="CH258" s="104"/>
      <c r="CI258" s="104"/>
      <c r="CJ258" s="104"/>
      <c r="CK258" s="104"/>
    </row>
    <row r="259" spans="1:89">
      <c r="A259" s="160"/>
      <c r="B259" s="129">
        <v>250</v>
      </c>
      <c r="C259" s="110" t="s">
        <v>315</v>
      </c>
      <c r="D259" s="123" t="s">
        <v>6</v>
      </c>
      <c r="E259" s="204"/>
      <c r="F259" s="147">
        <v>30.6</v>
      </c>
      <c r="G259" s="147">
        <v>7.4999999999999997E-2</v>
      </c>
      <c r="H259" s="147"/>
      <c r="I259" s="147">
        <f t="shared" si="69"/>
        <v>7.4999999999999997E-3</v>
      </c>
      <c r="J259" s="147">
        <f t="shared" si="65"/>
        <v>2.2949999999999999</v>
      </c>
      <c r="K259" s="147">
        <f t="shared" si="66"/>
        <v>0</v>
      </c>
      <c r="L259" s="147">
        <f t="shared" si="67"/>
        <v>0.22950000000000001</v>
      </c>
      <c r="M259" s="147">
        <f t="shared" si="68"/>
        <v>2.5244999999999997</v>
      </c>
      <c r="CD259" s="104"/>
      <c r="CE259" s="104"/>
      <c r="CF259" s="104"/>
      <c r="CG259" s="104"/>
      <c r="CH259" s="104"/>
      <c r="CI259" s="104"/>
      <c r="CJ259" s="104"/>
      <c r="CK259" s="104"/>
    </row>
    <row r="260" spans="1:89">
      <c r="A260" s="160"/>
      <c r="B260" s="129">
        <v>251</v>
      </c>
      <c r="C260" s="110" t="s">
        <v>316</v>
      </c>
      <c r="D260" s="123" t="s">
        <v>13</v>
      </c>
      <c r="E260" s="204"/>
      <c r="F260" s="147">
        <f>F259*0.2</f>
        <v>6.120000000000001</v>
      </c>
      <c r="G260" s="147">
        <v>0.15</v>
      </c>
      <c r="H260" s="147"/>
      <c r="I260" s="147">
        <f t="shared" si="69"/>
        <v>1.4999999999999999E-2</v>
      </c>
      <c r="J260" s="147">
        <f t="shared" si="65"/>
        <v>0.91800000000000015</v>
      </c>
      <c r="K260" s="147">
        <f t="shared" si="66"/>
        <v>0</v>
      </c>
      <c r="L260" s="147">
        <f t="shared" si="67"/>
        <v>9.1800000000000007E-2</v>
      </c>
      <c r="M260" s="147">
        <f t="shared" si="68"/>
        <v>1.0098000000000003</v>
      </c>
      <c r="CD260" s="104"/>
      <c r="CE260" s="104"/>
      <c r="CF260" s="104"/>
      <c r="CG260" s="104"/>
      <c r="CH260" s="104"/>
      <c r="CI260" s="104"/>
      <c r="CJ260" s="104"/>
      <c r="CK260" s="104"/>
    </row>
    <row r="261" spans="1:89">
      <c r="A261" s="160"/>
      <c r="B261" s="129">
        <v>252</v>
      </c>
      <c r="C261" s="110" t="s">
        <v>317</v>
      </c>
      <c r="D261" s="123" t="s">
        <v>6</v>
      </c>
      <c r="E261" s="204"/>
      <c r="F261" s="147">
        <v>37.799999999999997</v>
      </c>
      <c r="G261" s="147">
        <v>0.5</v>
      </c>
      <c r="H261" s="147"/>
      <c r="I261" s="147">
        <f t="shared" si="69"/>
        <v>0.05</v>
      </c>
      <c r="J261" s="147">
        <f t="shared" si="65"/>
        <v>18.899999999999999</v>
      </c>
      <c r="K261" s="147">
        <f t="shared" si="66"/>
        <v>0</v>
      </c>
      <c r="L261" s="147">
        <f t="shared" si="67"/>
        <v>1.89</v>
      </c>
      <c r="M261" s="147">
        <f t="shared" si="68"/>
        <v>20.79</v>
      </c>
      <c r="CD261" s="104"/>
      <c r="CE261" s="104"/>
      <c r="CF261" s="104"/>
      <c r="CG261" s="104"/>
      <c r="CH261" s="104"/>
      <c r="CI261" s="104"/>
      <c r="CJ261" s="104"/>
      <c r="CK261" s="104"/>
    </row>
    <row r="262" spans="1:89" ht="25.5" customHeight="1">
      <c r="A262" s="160"/>
      <c r="B262" s="129">
        <v>253</v>
      </c>
      <c r="C262" s="111" t="s">
        <v>327</v>
      </c>
      <c r="D262" s="123" t="s">
        <v>6</v>
      </c>
      <c r="E262" s="204"/>
      <c r="F262" s="147">
        <v>37.799999999999997</v>
      </c>
      <c r="G262" s="147">
        <v>0.6</v>
      </c>
      <c r="H262" s="147"/>
      <c r="I262" s="147">
        <f t="shared" si="69"/>
        <v>0.06</v>
      </c>
      <c r="J262" s="147">
        <f t="shared" si="65"/>
        <v>22.679999999999996</v>
      </c>
      <c r="K262" s="147">
        <f t="shared" si="66"/>
        <v>0</v>
      </c>
      <c r="L262" s="147">
        <f t="shared" si="67"/>
        <v>2.2679999999999998</v>
      </c>
      <c r="M262" s="147">
        <f t="shared" si="68"/>
        <v>24.947999999999997</v>
      </c>
      <c r="CD262" s="104"/>
      <c r="CE262" s="104"/>
      <c r="CF262" s="104"/>
      <c r="CG262" s="104"/>
      <c r="CH262" s="104"/>
      <c r="CI262" s="104"/>
      <c r="CJ262" s="104"/>
      <c r="CK262" s="104"/>
    </row>
    <row r="263" spans="1:89">
      <c r="A263" s="160"/>
      <c r="B263" s="129">
        <v>254</v>
      </c>
      <c r="C263" s="110" t="s">
        <v>318</v>
      </c>
      <c r="D263" s="123" t="s">
        <v>6</v>
      </c>
      <c r="E263" s="204"/>
      <c r="F263" s="147">
        <v>37.799999999999997</v>
      </c>
      <c r="G263" s="147">
        <v>0.75</v>
      </c>
      <c r="H263" s="147"/>
      <c r="I263" s="147">
        <f t="shared" si="69"/>
        <v>7.5000000000000011E-2</v>
      </c>
      <c r="J263" s="147">
        <f t="shared" si="65"/>
        <v>28.349999999999998</v>
      </c>
      <c r="K263" s="147">
        <f t="shared" si="66"/>
        <v>0</v>
      </c>
      <c r="L263" s="147">
        <f t="shared" si="67"/>
        <v>2.8350000000000004</v>
      </c>
      <c r="M263" s="147">
        <f t="shared" si="68"/>
        <v>31.184999999999999</v>
      </c>
      <c r="CD263" s="104"/>
      <c r="CE263" s="104"/>
      <c r="CF263" s="104"/>
      <c r="CG263" s="104"/>
      <c r="CH263" s="104"/>
      <c r="CI263" s="104"/>
      <c r="CJ263" s="104"/>
      <c r="CK263" s="104"/>
    </row>
    <row r="264" spans="1:89">
      <c r="A264" s="160"/>
      <c r="B264" s="129">
        <v>255</v>
      </c>
      <c r="C264" s="110" t="s">
        <v>319</v>
      </c>
      <c r="D264" s="123" t="s">
        <v>6</v>
      </c>
      <c r="E264" s="204"/>
      <c r="F264" s="147">
        <v>37.799999999999997</v>
      </c>
      <c r="G264" s="147">
        <v>1.1499999999999999</v>
      </c>
      <c r="H264" s="147"/>
      <c r="I264" s="147">
        <f t="shared" si="69"/>
        <v>0.11499999999999999</v>
      </c>
      <c r="J264" s="147">
        <f t="shared" si="65"/>
        <v>43.469999999999992</v>
      </c>
      <c r="K264" s="147">
        <f t="shared" si="66"/>
        <v>0</v>
      </c>
      <c r="L264" s="147">
        <f t="shared" si="67"/>
        <v>4.3469999999999995</v>
      </c>
      <c r="M264" s="147">
        <f t="shared" si="68"/>
        <v>47.816999999999993</v>
      </c>
      <c r="CD264" s="104"/>
      <c r="CE264" s="104"/>
      <c r="CF264" s="104"/>
      <c r="CG264" s="104"/>
      <c r="CH264" s="104"/>
      <c r="CI264" s="104"/>
      <c r="CJ264" s="104"/>
      <c r="CK264" s="104"/>
    </row>
    <row r="265" spans="1:89" ht="25.5" customHeight="1">
      <c r="A265" s="160"/>
      <c r="B265" s="129">
        <v>256</v>
      </c>
      <c r="C265" s="111" t="s">
        <v>328</v>
      </c>
      <c r="D265" s="123" t="s">
        <v>11</v>
      </c>
      <c r="E265" s="204"/>
      <c r="F265" s="147">
        <v>3</v>
      </c>
      <c r="G265" s="147">
        <v>1.5</v>
      </c>
      <c r="H265" s="147"/>
      <c r="I265" s="147">
        <f t="shared" si="69"/>
        <v>0.15000000000000002</v>
      </c>
      <c r="J265" s="147">
        <f t="shared" si="65"/>
        <v>4.5</v>
      </c>
      <c r="K265" s="147">
        <f t="shared" si="66"/>
        <v>0</v>
      </c>
      <c r="L265" s="147">
        <f t="shared" si="67"/>
        <v>0.45000000000000007</v>
      </c>
      <c r="M265" s="147">
        <f t="shared" si="68"/>
        <v>4.95</v>
      </c>
      <c r="CD265" s="104"/>
      <c r="CE265" s="104"/>
      <c r="CF265" s="104"/>
      <c r="CG265" s="104"/>
      <c r="CH265" s="104"/>
      <c r="CI265" s="104"/>
      <c r="CJ265" s="104"/>
      <c r="CK265" s="104"/>
    </row>
    <row r="266" spans="1:89" s="112" customFormat="1">
      <c r="A266" s="162"/>
      <c r="B266" s="129">
        <v>257</v>
      </c>
      <c r="C266" s="106" t="s">
        <v>338</v>
      </c>
      <c r="D266" s="124" t="s">
        <v>13</v>
      </c>
      <c r="E266" s="210"/>
      <c r="F266" s="205">
        <f>5*0.12*0.2*1.1</f>
        <v>0.13200000000000001</v>
      </c>
      <c r="G266" s="205"/>
      <c r="H266" s="205">
        <v>79</v>
      </c>
      <c r="I266" s="205">
        <f t="shared" ref="I266:I279" si="70">H266*0.03</f>
        <v>2.37</v>
      </c>
      <c r="J266" s="147">
        <f t="shared" si="65"/>
        <v>0</v>
      </c>
      <c r="K266" s="147">
        <f t="shared" si="66"/>
        <v>10.428000000000001</v>
      </c>
      <c r="L266" s="147">
        <f t="shared" si="67"/>
        <v>0.31284000000000001</v>
      </c>
      <c r="M266" s="147">
        <f t="shared" si="68"/>
        <v>10.74084</v>
      </c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3"/>
      <c r="BM266" s="113"/>
      <c r="BN266" s="113"/>
      <c r="BO266" s="113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3"/>
      <c r="CA266" s="113"/>
      <c r="CB266" s="113"/>
      <c r="CC266" s="113"/>
      <c r="CD266" s="113"/>
      <c r="CE266" s="113"/>
      <c r="CF266" s="113"/>
      <c r="CG266" s="113"/>
      <c r="CH266" s="113"/>
      <c r="CI266" s="113"/>
      <c r="CJ266" s="113"/>
      <c r="CK266" s="113"/>
    </row>
    <row r="267" spans="1:89" s="112" customFormat="1">
      <c r="A267" s="162"/>
      <c r="B267" s="129">
        <v>258</v>
      </c>
      <c r="C267" s="106" t="s">
        <v>341</v>
      </c>
      <c r="D267" s="124" t="s">
        <v>13</v>
      </c>
      <c r="E267" s="210"/>
      <c r="F267" s="205">
        <f>(8.85+4.4)*1.1*0.1*0.12</f>
        <v>0.17490000000000003</v>
      </c>
      <c r="G267" s="205"/>
      <c r="H267" s="205">
        <v>79</v>
      </c>
      <c r="I267" s="205">
        <f t="shared" si="70"/>
        <v>2.37</v>
      </c>
      <c r="J267" s="147">
        <f t="shared" si="65"/>
        <v>0</v>
      </c>
      <c r="K267" s="147">
        <f t="shared" si="66"/>
        <v>13.817100000000002</v>
      </c>
      <c r="L267" s="147">
        <f t="shared" si="67"/>
        <v>0.41451300000000008</v>
      </c>
      <c r="M267" s="147">
        <f t="shared" si="68"/>
        <v>14.231613000000001</v>
      </c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3"/>
      <c r="BM267" s="113"/>
      <c r="BN267" s="113"/>
      <c r="BO267" s="113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3"/>
      <c r="CA267" s="113"/>
      <c r="CB267" s="113"/>
      <c r="CC267" s="113"/>
      <c r="CD267" s="113"/>
      <c r="CE267" s="113"/>
      <c r="CF267" s="113"/>
      <c r="CG267" s="113"/>
      <c r="CH267" s="113"/>
      <c r="CI267" s="113"/>
      <c r="CJ267" s="113"/>
      <c r="CK267" s="113"/>
    </row>
    <row r="268" spans="1:89" s="112" customFormat="1">
      <c r="A268" s="162"/>
      <c r="B268" s="129">
        <v>259</v>
      </c>
      <c r="C268" s="106" t="s">
        <v>342</v>
      </c>
      <c r="D268" s="124" t="s">
        <v>13</v>
      </c>
      <c r="E268" s="210"/>
      <c r="F268" s="205">
        <f>16*4.5*0.065*0.2</f>
        <v>0.93599999999999994</v>
      </c>
      <c r="G268" s="205"/>
      <c r="H268" s="205">
        <v>79</v>
      </c>
      <c r="I268" s="205">
        <f t="shared" si="70"/>
        <v>2.37</v>
      </c>
      <c r="J268" s="147">
        <f t="shared" si="65"/>
        <v>0</v>
      </c>
      <c r="K268" s="147">
        <f t="shared" si="66"/>
        <v>73.943999999999988</v>
      </c>
      <c r="L268" s="147">
        <f t="shared" si="67"/>
        <v>2.2183199999999998</v>
      </c>
      <c r="M268" s="147">
        <f t="shared" si="68"/>
        <v>76.162319999999994</v>
      </c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3"/>
      <c r="AY268" s="113"/>
      <c r="AZ268" s="113"/>
      <c r="BA268" s="113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3"/>
      <c r="BM268" s="113"/>
      <c r="BN268" s="113"/>
      <c r="BO268" s="113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3"/>
      <c r="CA268" s="113"/>
      <c r="CB268" s="113"/>
      <c r="CC268" s="113"/>
      <c r="CD268" s="113"/>
      <c r="CE268" s="113"/>
      <c r="CF268" s="113"/>
      <c r="CG268" s="113"/>
      <c r="CH268" s="113"/>
      <c r="CI268" s="113"/>
      <c r="CJ268" s="113"/>
      <c r="CK268" s="113"/>
    </row>
    <row r="269" spans="1:89">
      <c r="A269" s="160"/>
      <c r="B269" s="129">
        <v>260</v>
      </c>
      <c r="C269" s="106" t="s">
        <v>493</v>
      </c>
      <c r="D269" s="124" t="s">
        <v>13</v>
      </c>
      <c r="E269" s="204"/>
      <c r="F269" s="147">
        <v>0.2</v>
      </c>
      <c r="G269" s="147"/>
      <c r="H269" s="205">
        <v>79</v>
      </c>
      <c r="I269" s="205">
        <f t="shared" si="70"/>
        <v>2.37</v>
      </c>
      <c r="J269" s="147">
        <f t="shared" si="65"/>
        <v>0</v>
      </c>
      <c r="K269" s="147">
        <f t="shared" si="66"/>
        <v>15.8</v>
      </c>
      <c r="L269" s="147">
        <f t="shared" si="67"/>
        <v>0.47400000000000003</v>
      </c>
      <c r="M269" s="147">
        <f t="shared" si="68"/>
        <v>16.274000000000001</v>
      </c>
      <c r="CD269" s="104"/>
      <c r="CE269" s="104"/>
      <c r="CF269" s="104"/>
      <c r="CG269" s="104"/>
      <c r="CH269" s="104"/>
      <c r="CI269" s="104"/>
      <c r="CJ269" s="104"/>
      <c r="CK269" s="104"/>
    </row>
    <row r="270" spans="1:89" s="112" customFormat="1">
      <c r="A270" s="162"/>
      <c r="B270" s="129">
        <v>261</v>
      </c>
      <c r="C270" s="106" t="s">
        <v>143</v>
      </c>
      <c r="D270" s="124" t="s">
        <v>11</v>
      </c>
      <c r="E270" s="210">
        <v>52</v>
      </c>
      <c r="F270" s="205">
        <v>32</v>
      </c>
      <c r="G270" s="205"/>
      <c r="H270" s="205">
        <v>0.65</v>
      </c>
      <c r="I270" s="205">
        <f t="shared" si="70"/>
        <v>1.95E-2</v>
      </c>
      <c r="J270" s="147">
        <f t="shared" si="65"/>
        <v>0</v>
      </c>
      <c r="K270" s="147">
        <f t="shared" si="66"/>
        <v>20.8</v>
      </c>
      <c r="L270" s="147">
        <f t="shared" si="67"/>
        <v>0.624</v>
      </c>
      <c r="M270" s="147">
        <f t="shared" si="68"/>
        <v>21.423999999999999</v>
      </c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3"/>
      <c r="AY270" s="113"/>
      <c r="AZ270" s="113"/>
      <c r="BA270" s="113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3"/>
      <c r="BM270" s="113"/>
      <c r="BN270" s="113"/>
      <c r="BO270" s="113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3"/>
      <c r="CA270" s="113"/>
      <c r="CB270" s="113"/>
      <c r="CC270" s="113"/>
      <c r="CD270" s="113"/>
      <c r="CE270" s="113"/>
      <c r="CF270" s="113"/>
      <c r="CG270" s="113"/>
      <c r="CH270" s="113"/>
      <c r="CI270" s="113"/>
      <c r="CJ270" s="113"/>
      <c r="CK270" s="113"/>
    </row>
    <row r="271" spans="1:89" s="116" customFormat="1">
      <c r="A271" s="162"/>
      <c r="B271" s="129">
        <v>262</v>
      </c>
      <c r="C271" s="106" t="s">
        <v>322</v>
      </c>
      <c r="D271" s="124" t="s">
        <v>6</v>
      </c>
      <c r="E271" s="210"/>
      <c r="F271" s="205">
        <f>F259*2*1.1</f>
        <v>67.320000000000007</v>
      </c>
      <c r="G271" s="205"/>
      <c r="H271" s="205">
        <v>2</v>
      </c>
      <c r="I271" s="205">
        <f t="shared" si="70"/>
        <v>0.06</v>
      </c>
      <c r="J271" s="147">
        <f t="shared" si="65"/>
        <v>0</v>
      </c>
      <c r="K271" s="147">
        <f t="shared" si="66"/>
        <v>134.64000000000001</v>
      </c>
      <c r="L271" s="147">
        <f t="shared" si="67"/>
        <v>4.0392000000000001</v>
      </c>
      <c r="M271" s="147">
        <f t="shared" si="68"/>
        <v>138.67920000000001</v>
      </c>
      <c r="N271" s="177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3"/>
      <c r="AY271" s="113"/>
      <c r="AZ271" s="113"/>
      <c r="BA271" s="113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3"/>
      <c r="BM271" s="113"/>
      <c r="BN271" s="113"/>
      <c r="BO271" s="113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3"/>
      <c r="CA271" s="113"/>
      <c r="CB271" s="113"/>
      <c r="CC271" s="113"/>
      <c r="CD271" s="113"/>
      <c r="CE271" s="113"/>
      <c r="CF271" s="113"/>
      <c r="CG271" s="113"/>
      <c r="CH271" s="113"/>
      <c r="CI271" s="113"/>
      <c r="CJ271" s="113"/>
      <c r="CK271" s="113"/>
    </row>
    <row r="272" spans="1:89" s="116" customFormat="1">
      <c r="A272" s="162"/>
      <c r="B272" s="129">
        <v>263</v>
      </c>
      <c r="C272" s="106" t="s">
        <v>29</v>
      </c>
      <c r="D272" s="124" t="s">
        <v>6</v>
      </c>
      <c r="E272" s="210">
        <v>110</v>
      </c>
      <c r="F272" s="205">
        <f>F271*1</f>
        <v>67.320000000000007</v>
      </c>
      <c r="G272" s="205"/>
      <c r="H272" s="205">
        <v>0.1</v>
      </c>
      <c r="I272" s="205">
        <f t="shared" si="70"/>
        <v>3.0000000000000001E-3</v>
      </c>
      <c r="J272" s="147">
        <f t="shared" si="65"/>
        <v>0</v>
      </c>
      <c r="K272" s="147">
        <f t="shared" si="66"/>
        <v>6.7320000000000011</v>
      </c>
      <c r="L272" s="147">
        <f t="shared" si="67"/>
        <v>0.20196000000000003</v>
      </c>
      <c r="M272" s="147">
        <f t="shared" si="68"/>
        <v>6.9339600000000008</v>
      </c>
      <c r="N272" s="177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3"/>
      <c r="AY272" s="113"/>
      <c r="AZ272" s="113"/>
      <c r="BA272" s="113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3"/>
      <c r="BM272" s="113"/>
      <c r="BN272" s="113"/>
      <c r="BO272" s="113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3"/>
      <c r="CA272" s="113"/>
      <c r="CB272" s="113"/>
      <c r="CC272" s="113"/>
      <c r="CD272" s="113"/>
      <c r="CE272" s="113"/>
      <c r="CF272" s="113"/>
      <c r="CG272" s="113"/>
      <c r="CH272" s="113"/>
      <c r="CI272" s="113"/>
      <c r="CJ272" s="113"/>
      <c r="CK272" s="113"/>
    </row>
    <row r="273" spans="1:89" s="116" customFormat="1">
      <c r="A273" s="162"/>
      <c r="B273" s="129">
        <v>264</v>
      </c>
      <c r="C273" s="106" t="s">
        <v>323</v>
      </c>
      <c r="D273" s="124" t="s">
        <v>13</v>
      </c>
      <c r="E273" s="210">
        <v>11</v>
      </c>
      <c r="F273" s="205">
        <f>F259*0.2</f>
        <v>6.120000000000001</v>
      </c>
      <c r="G273" s="205"/>
      <c r="H273" s="205">
        <v>23</v>
      </c>
      <c r="I273" s="205">
        <f t="shared" si="70"/>
        <v>0.69</v>
      </c>
      <c r="J273" s="147">
        <f t="shared" si="65"/>
        <v>0</v>
      </c>
      <c r="K273" s="147">
        <f t="shared" si="66"/>
        <v>140.76000000000002</v>
      </c>
      <c r="L273" s="147">
        <f t="shared" si="67"/>
        <v>4.2228000000000003</v>
      </c>
      <c r="M273" s="147">
        <f t="shared" si="68"/>
        <v>144.98280000000003</v>
      </c>
      <c r="N273" s="177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3"/>
      <c r="AY273" s="113"/>
      <c r="AZ273" s="113"/>
      <c r="BA273" s="113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3"/>
      <c r="BM273" s="113"/>
      <c r="BN273" s="113"/>
      <c r="BO273" s="113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3"/>
      <c r="CA273" s="113"/>
      <c r="CB273" s="113"/>
      <c r="CC273" s="113"/>
      <c r="CD273" s="113"/>
      <c r="CE273" s="113"/>
      <c r="CF273" s="113"/>
      <c r="CG273" s="113"/>
      <c r="CH273" s="113"/>
      <c r="CI273" s="113"/>
      <c r="CJ273" s="113"/>
      <c r="CK273" s="113"/>
    </row>
    <row r="274" spans="1:89" s="116" customFormat="1">
      <c r="A274" s="162"/>
      <c r="B274" s="129">
        <v>265</v>
      </c>
      <c r="C274" s="106" t="s">
        <v>133</v>
      </c>
      <c r="D274" s="124" t="s">
        <v>6</v>
      </c>
      <c r="E274" s="210">
        <v>77</v>
      </c>
      <c r="F274" s="205">
        <f>F264</f>
        <v>37.799999999999997</v>
      </c>
      <c r="G274" s="205"/>
      <c r="H274" s="205">
        <v>3.65</v>
      </c>
      <c r="I274" s="205">
        <f t="shared" si="70"/>
        <v>0.1095</v>
      </c>
      <c r="J274" s="147">
        <f t="shared" si="65"/>
        <v>0</v>
      </c>
      <c r="K274" s="147">
        <f t="shared" si="66"/>
        <v>137.97</v>
      </c>
      <c r="L274" s="147">
        <f t="shared" si="67"/>
        <v>4.1391</v>
      </c>
      <c r="M274" s="147">
        <f t="shared" si="68"/>
        <v>142.10910000000001</v>
      </c>
      <c r="N274" s="177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  <c r="CJ274" s="113"/>
      <c r="CK274" s="113"/>
    </row>
    <row r="275" spans="1:89" s="101" customFormat="1">
      <c r="A275" s="160"/>
      <c r="B275" s="129">
        <v>266</v>
      </c>
      <c r="C275" s="106" t="s">
        <v>324</v>
      </c>
      <c r="D275" s="123" t="s">
        <v>6</v>
      </c>
      <c r="E275" s="204">
        <v>80</v>
      </c>
      <c r="F275" s="147">
        <v>37.799999999999997</v>
      </c>
      <c r="G275" s="147"/>
      <c r="H275" s="147">
        <v>4.5999999999999996</v>
      </c>
      <c r="I275" s="205">
        <f t="shared" si="70"/>
        <v>0.13799999999999998</v>
      </c>
      <c r="J275" s="147">
        <f t="shared" si="65"/>
        <v>0</v>
      </c>
      <c r="K275" s="147">
        <f t="shared" si="66"/>
        <v>173.87999999999997</v>
      </c>
      <c r="L275" s="147">
        <f t="shared" si="67"/>
        <v>5.2163999999999993</v>
      </c>
      <c r="M275" s="147">
        <f t="shared" si="68"/>
        <v>179.09639999999996</v>
      </c>
      <c r="N275" s="149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BN275" s="104"/>
      <c r="BO275" s="104"/>
      <c r="BP275" s="104"/>
      <c r="BQ275" s="104"/>
      <c r="BR275" s="104"/>
      <c r="BS275" s="104"/>
      <c r="BT275" s="104"/>
      <c r="BU275" s="104"/>
      <c r="BV275" s="104"/>
      <c r="BW275" s="104"/>
      <c r="BX275" s="104"/>
      <c r="BY275" s="104"/>
      <c r="BZ275" s="104"/>
      <c r="CA275" s="104"/>
      <c r="CB275" s="104"/>
      <c r="CC275" s="104"/>
      <c r="CD275" s="104"/>
      <c r="CE275" s="104"/>
      <c r="CF275" s="104"/>
      <c r="CG275" s="104"/>
      <c r="CH275" s="104"/>
      <c r="CI275" s="104"/>
      <c r="CJ275" s="104"/>
      <c r="CK275" s="104"/>
    </row>
    <row r="276" spans="1:89" s="101" customFormat="1">
      <c r="A276" s="160"/>
      <c r="B276" s="129">
        <v>267</v>
      </c>
      <c r="C276" s="106" t="s">
        <v>325</v>
      </c>
      <c r="D276" s="124" t="s">
        <v>11</v>
      </c>
      <c r="E276" s="204"/>
      <c r="F276" s="147">
        <v>3</v>
      </c>
      <c r="G276" s="147"/>
      <c r="H276" s="147">
        <v>2.75</v>
      </c>
      <c r="I276" s="205">
        <f t="shared" si="70"/>
        <v>8.249999999999999E-2</v>
      </c>
      <c r="J276" s="147">
        <f t="shared" si="65"/>
        <v>0</v>
      </c>
      <c r="K276" s="147">
        <f t="shared" si="66"/>
        <v>8.25</v>
      </c>
      <c r="L276" s="147">
        <f t="shared" si="67"/>
        <v>0.24749999999999997</v>
      </c>
      <c r="M276" s="147">
        <f t="shared" si="68"/>
        <v>8.4975000000000005</v>
      </c>
      <c r="N276" s="149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BN276" s="104"/>
      <c r="BO276" s="104"/>
      <c r="BP276" s="104"/>
      <c r="BQ276" s="104"/>
      <c r="BR276" s="104"/>
      <c r="BS276" s="104"/>
      <c r="BT276" s="104"/>
      <c r="BU276" s="104"/>
      <c r="BV276" s="104"/>
      <c r="BW276" s="104"/>
      <c r="BX276" s="104"/>
      <c r="BY276" s="104"/>
      <c r="BZ276" s="104"/>
      <c r="CA276" s="104"/>
      <c r="CB276" s="104"/>
      <c r="CC276" s="104"/>
      <c r="CD276" s="104"/>
      <c r="CE276" s="104"/>
      <c r="CF276" s="104"/>
      <c r="CG276" s="104"/>
      <c r="CH276" s="104"/>
      <c r="CI276" s="104"/>
      <c r="CJ276" s="104"/>
      <c r="CK276" s="104"/>
    </row>
    <row r="277" spans="1:89" s="116" customFormat="1">
      <c r="A277" s="162"/>
      <c r="B277" s="129">
        <v>268</v>
      </c>
      <c r="C277" s="106" t="s">
        <v>297</v>
      </c>
      <c r="D277" s="124" t="s">
        <v>11</v>
      </c>
      <c r="E277" s="210"/>
      <c r="F277" s="205">
        <f>(2400/70)*F275</f>
        <v>1295.9999999999998</v>
      </c>
      <c r="G277" s="205"/>
      <c r="H277" s="205">
        <v>0.03</v>
      </c>
      <c r="I277" s="205">
        <f t="shared" si="70"/>
        <v>8.9999999999999998E-4</v>
      </c>
      <c r="J277" s="147">
        <f t="shared" si="65"/>
        <v>0</v>
      </c>
      <c r="K277" s="147">
        <f t="shared" si="66"/>
        <v>38.879999999999988</v>
      </c>
      <c r="L277" s="147">
        <f t="shared" si="67"/>
        <v>1.1663999999999997</v>
      </c>
      <c r="M277" s="147">
        <f t="shared" si="68"/>
        <v>40.046399999999991</v>
      </c>
      <c r="N277" s="177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13"/>
      <c r="AY277" s="113"/>
      <c r="AZ277" s="113"/>
      <c r="BA277" s="113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13"/>
      <c r="BM277" s="113"/>
      <c r="BN277" s="113"/>
      <c r="BO277" s="113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13"/>
      <c r="CA277" s="113"/>
      <c r="CB277" s="113"/>
      <c r="CC277" s="113"/>
      <c r="CD277" s="113"/>
      <c r="CE277" s="113"/>
      <c r="CF277" s="113"/>
      <c r="CG277" s="113"/>
      <c r="CH277" s="113"/>
      <c r="CI277" s="113"/>
      <c r="CJ277" s="113"/>
      <c r="CK277" s="113"/>
    </row>
    <row r="278" spans="1:89" s="116" customFormat="1">
      <c r="A278" s="162"/>
      <c r="B278" s="129">
        <v>269</v>
      </c>
      <c r="C278" s="106" t="s">
        <v>311</v>
      </c>
      <c r="D278" s="124" t="s">
        <v>47</v>
      </c>
      <c r="E278" s="210"/>
      <c r="F278" s="205">
        <v>3.6</v>
      </c>
      <c r="G278" s="205"/>
      <c r="H278" s="205">
        <v>0.45</v>
      </c>
      <c r="I278" s="205">
        <f t="shared" si="70"/>
        <v>1.35E-2</v>
      </c>
      <c r="J278" s="147">
        <f t="shared" si="65"/>
        <v>0</v>
      </c>
      <c r="K278" s="147">
        <f t="shared" si="66"/>
        <v>1.62</v>
      </c>
      <c r="L278" s="147">
        <f t="shared" si="67"/>
        <v>4.8599999999999997E-2</v>
      </c>
      <c r="M278" s="147">
        <f t="shared" si="68"/>
        <v>1.6686000000000001</v>
      </c>
      <c r="N278" s="177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13"/>
      <c r="AK278" s="113"/>
      <c r="AL278" s="113"/>
      <c r="AM278" s="113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13"/>
      <c r="AY278" s="113"/>
      <c r="AZ278" s="113"/>
      <c r="BA278" s="113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13"/>
      <c r="BM278" s="113"/>
      <c r="BN278" s="113"/>
      <c r="BO278" s="113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13"/>
      <c r="CA278" s="113"/>
      <c r="CB278" s="113"/>
      <c r="CC278" s="113"/>
      <c r="CD278" s="113"/>
      <c r="CE278" s="113"/>
      <c r="CF278" s="113"/>
      <c r="CG278" s="113"/>
      <c r="CH278" s="113"/>
      <c r="CI278" s="113"/>
      <c r="CJ278" s="113"/>
      <c r="CK278" s="113"/>
    </row>
    <row r="279" spans="1:89" s="116" customFormat="1">
      <c r="A279" s="162"/>
      <c r="B279" s="129">
        <v>270</v>
      </c>
      <c r="C279" s="106" t="s">
        <v>326</v>
      </c>
      <c r="D279" s="124" t="s">
        <v>47</v>
      </c>
      <c r="E279" s="210"/>
      <c r="F279" s="205">
        <v>1.45</v>
      </c>
      <c r="G279" s="205"/>
      <c r="H279" s="205">
        <v>0.68</v>
      </c>
      <c r="I279" s="205">
        <f t="shared" si="70"/>
        <v>2.0400000000000001E-2</v>
      </c>
      <c r="J279" s="147">
        <f t="shared" si="65"/>
        <v>0</v>
      </c>
      <c r="K279" s="147">
        <f t="shared" si="66"/>
        <v>0.98599999999999999</v>
      </c>
      <c r="L279" s="147">
        <f t="shared" si="67"/>
        <v>2.9580000000000002E-2</v>
      </c>
      <c r="M279" s="147">
        <f t="shared" si="68"/>
        <v>1.0155799999999999</v>
      </c>
      <c r="N279" s="177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13"/>
      <c r="AK279" s="113"/>
      <c r="AL279" s="113"/>
      <c r="AM279" s="113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13"/>
      <c r="AY279" s="113"/>
      <c r="AZ279" s="113"/>
      <c r="BA279" s="113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13"/>
      <c r="BM279" s="113"/>
      <c r="BN279" s="113"/>
      <c r="BO279" s="113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13"/>
      <c r="CA279" s="113"/>
      <c r="CB279" s="113"/>
      <c r="CC279" s="113"/>
      <c r="CD279" s="113"/>
      <c r="CE279" s="113"/>
      <c r="CF279" s="113"/>
      <c r="CG279" s="113"/>
      <c r="CH279" s="113"/>
      <c r="CI279" s="113"/>
      <c r="CJ279" s="113"/>
      <c r="CK279" s="113"/>
    </row>
    <row r="280" spans="1:89" s="116" customFormat="1">
      <c r="A280" s="162"/>
      <c r="B280" s="129">
        <v>271</v>
      </c>
      <c r="C280" s="110" t="s">
        <v>329</v>
      </c>
      <c r="D280" s="124" t="s">
        <v>6</v>
      </c>
      <c r="E280" s="210"/>
      <c r="F280" s="205">
        <v>11.2</v>
      </c>
      <c r="G280" s="205">
        <v>6.3</v>
      </c>
      <c r="H280" s="205"/>
      <c r="I280" s="147">
        <f>G280*0.1</f>
        <v>0.63</v>
      </c>
      <c r="J280" s="147">
        <f t="shared" si="65"/>
        <v>70.559999999999988</v>
      </c>
      <c r="K280" s="147">
        <f t="shared" si="66"/>
        <v>0</v>
      </c>
      <c r="L280" s="147">
        <f t="shared" si="67"/>
        <v>7.0559999999999992</v>
      </c>
      <c r="M280" s="147">
        <f t="shared" si="68"/>
        <v>77.615999999999985</v>
      </c>
      <c r="N280" s="177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13"/>
      <c r="AY280" s="113"/>
      <c r="AZ280" s="113"/>
      <c r="BA280" s="113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13"/>
      <c r="BM280" s="113"/>
      <c r="BN280" s="113"/>
      <c r="BO280" s="113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13"/>
      <c r="CA280" s="113"/>
      <c r="CB280" s="113"/>
      <c r="CC280" s="113"/>
      <c r="CD280" s="113"/>
      <c r="CE280" s="113"/>
      <c r="CF280" s="113"/>
      <c r="CG280" s="113"/>
      <c r="CH280" s="113"/>
      <c r="CI280" s="113"/>
      <c r="CJ280" s="113"/>
      <c r="CK280" s="113"/>
    </row>
    <row r="281" spans="1:89" s="116" customFormat="1">
      <c r="A281" s="162"/>
      <c r="B281" s="129">
        <v>272</v>
      </c>
      <c r="C281" s="106" t="s">
        <v>27</v>
      </c>
      <c r="D281" s="124" t="s">
        <v>13</v>
      </c>
      <c r="E281" s="210">
        <v>2.6</v>
      </c>
      <c r="F281" s="205">
        <f>F280*0.035</f>
        <v>0.39200000000000002</v>
      </c>
      <c r="G281" s="205"/>
      <c r="H281" s="205">
        <v>79</v>
      </c>
      <c r="I281" s="205">
        <f>H281*0.03</f>
        <v>2.37</v>
      </c>
      <c r="J281" s="147">
        <f t="shared" si="65"/>
        <v>0</v>
      </c>
      <c r="K281" s="147">
        <f t="shared" si="66"/>
        <v>30.968</v>
      </c>
      <c r="L281" s="147">
        <f t="shared" si="67"/>
        <v>0.92904000000000009</v>
      </c>
      <c r="M281" s="147">
        <f t="shared" si="68"/>
        <v>31.897040000000001</v>
      </c>
      <c r="N281" s="177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13"/>
      <c r="AK281" s="113"/>
      <c r="AL281" s="113"/>
      <c r="AM281" s="113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13"/>
      <c r="AY281" s="113"/>
      <c r="AZ281" s="113"/>
      <c r="BA281" s="113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13"/>
      <c r="BM281" s="113"/>
      <c r="BN281" s="113"/>
      <c r="BO281" s="113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13"/>
      <c r="CA281" s="113"/>
      <c r="CB281" s="113"/>
      <c r="CC281" s="113"/>
      <c r="CD281" s="113"/>
      <c r="CE281" s="113"/>
      <c r="CF281" s="113"/>
      <c r="CG281" s="113"/>
      <c r="CH281" s="113"/>
      <c r="CI281" s="113"/>
      <c r="CJ281" s="113"/>
      <c r="CK281" s="113"/>
    </row>
    <row r="282" spans="1:89" s="116" customFormat="1">
      <c r="A282" s="162"/>
      <c r="B282" s="129">
        <v>273</v>
      </c>
      <c r="C282" s="106" t="s">
        <v>118</v>
      </c>
      <c r="D282" s="124" t="s">
        <v>47</v>
      </c>
      <c r="E282" s="210"/>
      <c r="F282" s="205">
        <v>1.1000000000000001</v>
      </c>
      <c r="G282" s="205"/>
      <c r="H282" s="205">
        <v>0.45</v>
      </c>
      <c r="I282" s="205">
        <f>H282*0.03</f>
        <v>1.35E-2</v>
      </c>
      <c r="J282" s="147">
        <f t="shared" si="65"/>
        <v>0</v>
      </c>
      <c r="K282" s="147">
        <f t="shared" si="66"/>
        <v>0.49500000000000005</v>
      </c>
      <c r="L282" s="147">
        <f t="shared" si="67"/>
        <v>1.485E-2</v>
      </c>
      <c r="M282" s="147">
        <f t="shared" si="68"/>
        <v>0.50985000000000003</v>
      </c>
      <c r="N282" s="177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13"/>
      <c r="AK282" s="113"/>
      <c r="AL282" s="113"/>
      <c r="AM282" s="113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13"/>
      <c r="AY282" s="113"/>
      <c r="AZ282" s="113"/>
      <c r="BA282" s="113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13"/>
      <c r="BM282" s="113"/>
      <c r="BN282" s="113"/>
      <c r="BO282" s="113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13"/>
      <c r="CA282" s="113"/>
      <c r="CB282" s="113"/>
      <c r="CC282" s="113"/>
      <c r="CD282" s="113"/>
      <c r="CE282" s="113"/>
      <c r="CF282" s="113"/>
      <c r="CG282" s="113"/>
      <c r="CH282" s="113"/>
      <c r="CI282" s="113"/>
      <c r="CJ282" s="113"/>
      <c r="CK282" s="113"/>
    </row>
    <row r="283" spans="1:89" s="101" customFormat="1">
      <c r="A283" s="160"/>
      <c r="B283" s="129">
        <v>274</v>
      </c>
      <c r="C283" s="110" t="s">
        <v>344</v>
      </c>
      <c r="D283" s="123" t="s">
        <v>11</v>
      </c>
      <c r="E283" s="204"/>
      <c r="F283" s="147">
        <v>4</v>
      </c>
      <c r="G283" s="147">
        <v>29.1</v>
      </c>
      <c r="H283" s="147"/>
      <c r="I283" s="147">
        <f>G283*0.1</f>
        <v>2.91</v>
      </c>
      <c r="J283" s="147">
        <f t="shared" si="65"/>
        <v>116.4</v>
      </c>
      <c r="K283" s="147">
        <f t="shared" si="66"/>
        <v>0</v>
      </c>
      <c r="L283" s="147">
        <f t="shared" si="67"/>
        <v>11.64</v>
      </c>
      <c r="M283" s="147">
        <f t="shared" si="68"/>
        <v>128.04000000000002</v>
      </c>
      <c r="N283" s="149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BN283" s="104"/>
      <c r="BO283" s="104"/>
      <c r="BP283" s="104"/>
      <c r="BQ283" s="104"/>
      <c r="BR283" s="104"/>
      <c r="BS283" s="104"/>
      <c r="BT283" s="104"/>
      <c r="BU283" s="104"/>
      <c r="BV283" s="104"/>
      <c r="BW283" s="104"/>
      <c r="BX283" s="104"/>
      <c r="BY283" s="104"/>
      <c r="BZ283" s="104"/>
      <c r="CA283" s="104"/>
      <c r="CB283" s="104"/>
      <c r="CC283" s="104"/>
      <c r="CD283" s="104"/>
      <c r="CE283" s="104"/>
      <c r="CF283" s="104"/>
      <c r="CG283" s="104"/>
      <c r="CH283" s="104"/>
      <c r="CI283" s="104"/>
      <c r="CJ283" s="104"/>
      <c r="CK283" s="104"/>
    </row>
    <row r="284" spans="1:89" s="116" customFormat="1">
      <c r="A284" s="162"/>
      <c r="B284" s="129">
        <v>275</v>
      </c>
      <c r="C284" s="106" t="s">
        <v>154</v>
      </c>
      <c r="D284" s="124" t="s">
        <v>11</v>
      </c>
      <c r="E284" s="210">
        <v>4</v>
      </c>
      <c r="F284" s="205"/>
      <c r="G284" s="205"/>
      <c r="H284" s="205">
        <v>153.38999999999999</v>
      </c>
      <c r="I284" s="205">
        <f>H284*0.03</f>
        <v>4.6016999999999992</v>
      </c>
      <c r="J284" s="147">
        <f t="shared" si="65"/>
        <v>0</v>
      </c>
      <c r="K284" s="147">
        <f t="shared" si="66"/>
        <v>0</v>
      </c>
      <c r="L284" s="147">
        <f t="shared" si="67"/>
        <v>0</v>
      </c>
      <c r="M284" s="147">
        <f t="shared" si="68"/>
        <v>0</v>
      </c>
      <c r="N284" s="177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13"/>
      <c r="AK284" s="113"/>
      <c r="AL284" s="113"/>
      <c r="AM284" s="113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13"/>
      <c r="AY284" s="113"/>
      <c r="AZ284" s="113"/>
      <c r="BA284" s="113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13"/>
      <c r="BM284" s="113"/>
      <c r="BN284" s="113"/>
      <c r="BO284" s="113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13"/>
      <c r="CA284" s="113"/>
      <c r="CB284" s="113"/>
      <c r="CC284" s="113"/>
      <c r="CD284" s="113"/>
      <c r="CE284" s="113"/>
      <c r="CF284" s="113"/>
      <c r="CG284" s="113"/>
      <c r="CH284" s="113"/>
      <c r="CI284" s="113"/>
      <c r="CJ284" s="113"/>
      <c r="CK284" s="113"/>
    </row>
    <row r="285" spans="1:89" s="107" customFormat="1">
      <c r="A285" s="159"/>
      <c r="B285" s="129">
        <v>276</v>
      </c>
      <c r="C285" s="132" t="s">
        <v>242</v>
      </c>
      <c r="D285" s="123"/>
      <c r="E285" s="207"/>
      <c r="F285" s="208"/>
      <c r="G285" s="208"/>
      <c r="H285" s="208"/>
      <c r="I285" s="208"/>
      <c r="J285" s="147">
        <f t="shared" ref="J285:J293" si="71">F285*G285</f>
        <v>0</v>
      </c>
      <c r="K285" s="147">
        <f t="shared" ref="K285:K293" si="72">F285*H285</f>
        <v>0</v>
      </c>
      <c r="L285" s="147">
        <f t="shared" ref="L285:L293" si="73">F285*I285</f>
        <v>0</v>
      </c>
      <c r="M285" s="147">
        <f t="shared" ref="M285:M293" si="74">J285+K285+L285</f>
        <v>0</v>
      </c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8"/>
      <c r="AP285" s="108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  <c r="BA285" s="108"/>
      <c r="BB285" s="108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8"/>
      <c r="BN285" s="108"/>
      <c r="BO285" s="108"/>
      <c r="BP285" s="108"/>
      <c r="BQ285" s="108"/>
      <c r="BR285" s="108"/>
      <c r="BS285" s="108"/>
      <c r="BT285" s="108"/>
      <c r="BU285" s="108"/>
      <c r="BV285" s="108"/>
      <c r="BW285" s="108"/>
      <c r="BX285" s="108"/>
      <c r="BY285" s="108"/>
      <c r="BZ285" s="108"/>
      <c r="CA285" s="108"/>
      <c r="CB285" s="108"/>
      <c r="CC285" s="108"/>
      <c r="CD285" s="108"/>
      <c r="CE285" s="108"/>
      <c r="CF285" s="108"/>
      <c r="CG285" s="108"/>
      <c r="CH285" s="108"/>
      <c r="CI285" s="108"/>
      <c r="CJ285" s="108"/>
      <c r="CK285" s="108"/>
    </row>
    <row r="286" spans="1:89">
      <c r="A286" s="160"/>
      <c r="B286" s="129">
        <v>277</v>
      </c>
      <c r="C286" s="109" t="s">
        <v>183</v>
      </c>
      <c r="D286" s="123" t="s">
        <v>34</v>
      </c>
      <c r="E286" s="204">
        <v>12</v>
      </c>
      <c r="F286" s="147">
        <v>12</v>
      </c>
      <c r="G286" s="147">
        <v>3.05</v>
      </c>
      <c r="H286" s="147"/>
      <c r="I286" s="147">
        <v>0.32</v>
      </c>
      <c r="J286" s="147">
        <f t="shared" si="71"/>
        <v>36.599999999999994</v>
      </c>
      <c r="K286" s="147">
        <f t="shared" si="72"/>
        <v>0</v>
      </c>
      <c r="L286" s="147">
        <f t="shared" si="73"/>
        <v>3.84</v>
      </c>
      <c r="M286" s="147">
        <f t="shared" si="74"/>
        <v>40.44</v>
      </c>
      <c r="CD286" s="104"/>
      <c r="CE286" s="104"/>
      <c r="CF286" s="104"/>
      <c r="CG286" s="104"/>
      <c r="CH286" s="104"/>
      <c r="CI286" s="104"/>
      <c r="CJ286" s="104"/>
      <c r="CK286" s="104"/>
    </row>
    <row r="287" spans="1:89" ht="25.5" customHeight="1">
      <c r="B287" s="129">
        <v>278</v>
      </c>
      <c r="C287" s="111" t="s">
        <v>351</v>
      </c>
      <c r="D287" s="123" t="s">
        <v>220</v>
      </c>
      <c r="E287" s="204"/>
      <c r="F287" s="147">
        <v>6</v>
      </c>
      <c r="G287" s="147">
        <v>3.5</v>
      </c>
      <c r="H287" s="147">
        <v>0.45</v>
      </c>
      <c r="I287" s="147">
        <v>0.35</v>
      </c>
      <c r="J287" s="147">
        <f t="shared" si="71"/>
        <v>21</v>
      </c>
      <c r="K287" s="147">
        <f t="shared" si="72"/>
        <v>2.7</v>
      </c>
      <c r="L287" s="147">
        <f t="shared" si="73"/>
        <v>2.0999999999999996</v>
      </c>
      <c r="M287" s="147">
        <f t="shared" si="74"/>
        <v>25.799999999999997</v>
      </c>
      <c r="CD287" s="104"/>
      <c r="CE287" s="104"/>
      <c r="CF287" s="104"/>
      <c r="CG287" s="104"/>
      <c r="CH287" s="104"/>
      <c r="CI287" s="104"/>
      <c r="CJ287" s="104"/>
      <c r="CK287" s="104"/>
    </row>
    <row r="288" spans="1:89">
      <c r="A288" s="165"/>
      <c r="B288" s="129">
        <v>279</v>
      </c>
      <c r="C288" s="110" t="s">
        <v>309</v>
      </c>
      <c r="D288" s="123" t="s">
        <v>13</v>
      </c>
      <c r="E288" s="204"/>
      <c r="F288" s="147">
        <v>0.51</v>
      </c>
      <c r="G288" s="147">
        <v>7</v>
      </c>
      <c r="H288" s="147"/>
      <c r="I288" s="147">
        <f>G288*0.1</f>
        <v>0.70000000000000007</v>
      </c>
      <c r="J288" s="147">
        <f t="shared" si="71"/>
        <v>3.5700000000000003</v>
      </c>
      <c r="K288" s="147">
        <f t="shared" si="72"/>
        <v>0</v>
      </c>
      <c r="L288" s="147">
        <f t="shared" si="73"/>
        <v>0.35700000000000004</v>
      </c>
      <c r="M288" s="147">
        <f t="shared" si="74"/>
        <v>3.9270000000000005</v>
      </c>
      <c r="CD288" s="104"/>
      <c r="CE288" s="104"/>
      <c r="CF288" s="104"/>
      <c r="CG288" s="104"/>
      <c r="CH288" s="104"/>
      <c r="CI288" s="104"/>
      <c r="CJ288" s="104"/>
      <c r="CK288" s="104"/>
    </row>
    <row r="289" spans="1:89" s="116" customFormat="1">
      <c r="A289" s="162"/>
      <c r="B289" s="129">
        <v>280</v>
      </c>
      <c r="C289" s="106" t="s">
        <v>63</v>
      </c>
      <c r="D289" s="124" t="s">
        <v>11</v>
      </c>
      <c r="E289" s="210"/>
      <c r="F289" s="205">
        <v>520</v>
      </c>
      <c r="G289" s="205"/>
      <c r="H289" s="205">
        <v>0.21</v>
      </c>
      <c r="I289" s="205">
        <f>H289*0.03</f>
        <v>6.2999999999999992E-3</v>
      </c>
      <c r="J289" s="147">
        <f t="shared" si="71"/>
        <v>0</v>
      </c>
      <c r="K289" s="147">
        <f t="shared" si="72"/>
        <v>109.2</v>
      </c>
      <c r="L289" s="147">
        <f t="shared" si="73"/>
        <v>3.2759999999999994</v>
      </c>
      <c r="M289" s="147">
        <f t="shared" si="74"/>
        <v>112.476</v>
      </c>
      <c r="N289" s="177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3"/>
      <c r="AO289" s="113"/>
      <c r="AP289" s="113"/>
      <c r="AQ289" s="113"/>
      <c r="AR289" s="113"/>
      <c r="AS289" s="113"/>
      <c r="AT289" s="113"/>
      <c r="AU289" s="113"/>
      <c r="AV289" s="113"/>
      <c r="AW289" s="113"/>
      <c r="AX289" s="113"/>
      <c r="AY289" s="113"/>
      <c r="AZ289" s="113"/>
      <c r="BA289" s="113"/>
      <c r="BB289" s="113"/>
      <c r="BC289" s="113"/>
      <c r="BD289" s="113"/>
      <c r="BE289" s="113"/>
      <c r="BF289" s="113"/>
      <c r="BG289" s="113"/>
      <c r="BH289" s="113"/>
      <c r="BI289" s="113"/>
      <c r="BJ289" s="113"/>
      <c r="BK289" s="113"/>
      <c r="BL289" s="113"/>
      <c r="BM289" s="113"/>
      <c r="BN289" s="113"/>
      <c r="BO289" s="113"/>
      <c r="BP289" s="113"/>
      <c r="BQ289" s="113"/>
      <c r="BR289" s="113"/>
      <c r="BS289" s="113"/>
      <c r="BT289" s="113"/>
      <c r="BU289" s="113"/>
      <c r="BV289" s="113"/>
      <c r="BW289" s="113"/>
      <c r="BX289" s="113"/>
      <c r="BY289" s="113"/>
      <c r="BZ289" s="113"/>
      <c r="CA289" s="113"/>
      <c r="CB289" s="113"/>
      <c r="CC289" s="113"/>
      <c r="CD289" s="113"/>
      <c r="CE289" s="113"/>
      <c r="CF289" s="113"/>
      <c r="CG289" s="113"/>
      <c r="CH289" s="113"/>
      <c r="CI289" s="113"/>
      <c r="CJ289" s="113"/>
      <c r="CK289" s="113"/>
    </row>
    <row r="290" spans="1:89" s="116" customFormat="1">
      <c r="A290" s="162"/>
      <c r="B290" s="129">
        <v>281</v>
      </c>
      <c r="C290" s="106" t="s">
        <v>352</v>
      </c>
      <c r="D290" s="124" t="s">
        <v>11</v>
      </c>
      <c r="E290" s="210"/>
      <c r="F290" s="205">
        <v>6</v>
      </c>
      <c r="G290" s="205"/>
      <c r="H290" s="205">
        <v>3.2</v>
      </c>
      <c r="I290" s="205">
        <f>H290*0.03</f>
        <v>9.6000000000000002E-2</v>
      </c>
      <c r="J290" s="147">
        <f t="shared" si="71"/>
        <v>0</v>
      </c>
      <c r="K290" s="147">
        <f t="shared" si="72"/>
        <v>19.200000000000003</v>
      </c>
      <c r="L290" s="147">
        <f t="shared" si="73"/>
        <v>0.57600000000000007</v>
      </c>
      <c r="M290" s="147">
        <f t="shared" si="74"/>
        <v>19.776000000000003</v>
      </c>
      <c r="N290" s="177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3"/>
      <c r="AH290" s="113"/>
      <c r="AI290" s="113"/>
      <c r="AJ290" s="113"/>
      <c r="AK290" s="113"/>
      <c r="AL290" s="113"/>
      <c r="AM290" s="113"/>
      <c r="AN290" s="113"/>
      <c r="AO290" s="113"/>
      <c r="AP290" s="113"/>
      <c r="AQ290" s="113"/>
      <c r="AR290" s="113"/>
      <c r="AS290" s="113"/>
      <c r="AT290" s="113"/>
      <c r="AU290" s="113"/>
      <c r="AV290" s="113"/>
      <c r="AW290" s="113"/>
      <c r="AX290" s="113"/>
      <c r="AY290" s="113"/>
      <c r="AZ290" s="113"/>
      <c r="BA290" s="113"/>
      <c r="BB290" s="113"/>
      <c r="BC290" s="113"/>
      <c r="BD290" s="113"/>
      <c r="BE290" s="113"/>
      <c r="BF290" s="113"/>
      <c r="BG290" s="113"/>
      <c r="BH290" s="113"/>
      <c r="BI290" s="113"/>
      <c r="BJ290" s="113"/>
      <c r="BK290" s="113"/>
      <c r="BL290" s="113"/>
      <c r="BM290" s="113"/>
      <c r="BN290" s="113"/>
      <c r="BO290" s="113"/>
      <c r="BP290" s="113"/>
      <c r="BQ290" s="113"/>
      <c r="BR290" s="113"/>
      <c r="BS290" s="113"/>
      <c r="BT290" s="113"/>
      <c r="BU290" s="113"/>
      <c r="BV290" s="113"/>
      <c r="BW290" s="113"/>
      <c r="BX290" s="113"/>
      <c r="BY290" s="113"/>
      <c r="BZ290" s="113"/>
      <c r="CA290" s="113"/>
      <c r="CB290" s="113"/>
      <c r="CC290" s="113"/>
      <c r="CD290" s="113"/>
      <c r="CE290" s="113"/>
      <c r="CF290" s="113"/>
      <c r="CG290" s="113"/>
      <c r="CH290" s="113"/>
      <c r="CI290" s="113"/>
      <c r="CJ290" s="113"/>
      <c r="CK290" s="113"/>
    </row>
    <row r="291" spans="1:89" s="116" customFormat="1">
      <c r="A291" s="162"/>
      <c r="B291" s="129">
        <v>282</v>
      </c>
      <c r="C291" s="106" t="s">
        <v>346</v>
      </c>
      <c r="D291" s="124" t="s">
        <v>13</v>
      </c>
      <c r="E291" s="210"/>
      <c r="F291" s="205">
        <v>0.5</v>
      </c>
      <c r="G291" s="205"/>
      <c r="H291" s="205">
        <v>5</v>
      </c>
      <c r="I291" s="205">
        <f>H291*0.03</f>
        <v>0.15</v>
      </c>
      <c r="J291" s="147">
        <f t="shared" si="71"/>
        <v>0</v>
      </c>
      <c r="K291" s="147">
        <f t="shared" si="72"/>
        <v>2.5</v>
      </c>
      <c r="L291" s="147">
        <f t="shared" si="73"/>
        <v>7.4999999999999997E-2</v>
      </c>
      <c r="M291" s="147">
        <f t="shared" si="74"/>
        <v>2.5750000000000002</v>
      </c>
      <c r="N291" s="177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  <c r="AF291" s="113"/>
      <c r="AG291" s="113"/>
      <c r="AH291" s="113"/>
      <c r="AI291" s="113"/>
      <c r="AJ291" s="113"/>
      <c r="AK291" s="113"/>
      <c r="AL291" s="113"/>
      <c r="AM291" s="113"/>
      <c r="AN291" s="113"/>
      <c r="AO291" s="113"/>
      <c r="AP291" s="113"/>
      <c r="AQ291" s="113"/>
      <c r="AR291" s="113"/>
      <c r="AS291" s="113"/>
      <c r="AT291" s="113"/>
      <c r="AU291" s="113"/>
      <c r="AV291" s="113"/>
      <c r="AW291" s="113"/>
      <c r="AX291" s="113"/>
      <c r="AY291" s="113"/>
      <c r="AZ291" s="113"/>
      <c r="BA291" s="113"/>
      <c r="BB291" s="113"/>
      <c r="BC291" s="113"/>
      <c r="BD291" s="113"/>
      <c r="BE291" s="113"/>
      <c r="BF291" s="113"/>
      <c r="BG291" s="113"/>
      <c r="BH291" s="113"/>
      <c r="BI291" s="113"/>
      <c r="BJ291" s="113"/>
      <c r="BK291" s="113"/>
      <c r="BL291" s="113"/>
      <c r="BM291" s="113"/>
      <c r="BN291" s="113"/>
      <c r="BO291" s="113"/>
      <c r="BP291" s="113"/>
      <c r="BQ291" s="113"/>
      <c r="BR291" s="113"/>
      <c r="BS291" s="113"/>
      <c r="BT291" s="113"/>
      <c r="BU291" s="113"/>
      <c r="BV291" s="113"/>
      <c r="BW291" s="113"/>
      <c r="BX291" s="113"/>
      <c r="BY291" s="113"/>
      <c r="BZ291" s="113"/>
      <c r="CA291" s="113"/>
      <c r="CB291" s="113"/>
      <c r="CC291" s="113"/>
      <c r="CD291" s="113"/>
      <c r="CE291" s="113"/>
      <c r="CF291" s="113"/>
      <c r="CG291" s="113"/>
      <c r="CH291" s="113"/>
      <c r="CI291" s="113"/>
      <c r="CJ291" s="113"/>
      <c r="CK291" s="113"/>
    </row>
    <row r="292" spans="1:89" s="116" customFormat="1">
      <c r="A292" s="162"/>
      <c r="B292" s="129">
        <v>283</v>
      </c>
      <c r="C292" s="106" t="s">
        <v>347</v>
      </c>
      <c r="D292" s="124" t="s">
        <v>348</v>
      </c>
      <c r="E292" s="210"/>
      <c r="F292" s="205">
        <v>0.125</v>
      </c>
      <c r="G292" s="205"/>
      <c r="H292" s="205">
        <v>40</v>
      </c>
      <c r="I292" s="205">
        <f>H292*0.03</f>
        <v>1.2</v>
      </c>
      <c r="J292" s="147">
        <f t="shared" si="71"/>
        <v>0</v>
      </c>
      <c r="K292" s="147">
        <f t="shared" si="72"/>
        <v>5</v>
      </c>
      <c r="L292" s="147">
        <f t="shared" si="73"/>
        <v>0.15</v>
      </c>
      <c r="M292" s="147">
        <f t="shared" si="74"/>
        <v>5.15</v>
      </c>
      <c r="N292" s="177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  <c r="AQ292" s="113"/>
      <c r="AR292" s="113"/>
      <c r="AS292" s="113"/>
      <c r="AT292" s="113"/>
      <c r="AU292" s="113"/>
      <c r="AV292" s="113"/>
      <c r="AW292" s="113"/>
      <c r="AX292" s="113"/>
      <c r="AY292" s="113"/>
      <c r="AZ292" s="113"/>
      <c r="BA292" s="113"/>
      <c r="BB292" s="113"/>
      <c r="BC292" s="113"/>
      <c r="BD292" s="113"/>
      <c r="BE292" s="113"/>
      <c r="BF292" s="113"/>
      <c r="BG292" s="113"/>
      <c r="BH292" s="113"/>
      <c r="BI292" s="113"/>
      <c r="BJ292" s="113"/>
      <c r="BK292" s="113"/>
      <c r="BL292" s="113"/>
      <c r="BM292" s="113"/>
      <c r="BN292" s="113"/>
      <c r="BO292" s="113"/>
      <c r="BP292" s="113"/>
      <c r="BQ292" s="113"/>
      <c r="BR292" s="113"/>
      <c r="BS292" s="113"/>
      <c r="BT292" s="113"/>
      <c r="BU292" s="113"/>
      <c r="BV292" s="113"/>
      <c r="BW292" s="113"/>
      <c r="BX292" s="113"/>
      <c r="BY292" s="113"/>
      <c r="BZ292" s="113"/>
      <c r="CA292" s="113"/>
      <c r="CB292" s="113"/>
      <c r="CC292" s="113"/>
      <c r="CD292" s="113"/>
      <c r="CE292" s="113"/>
      <c r="CF292" s="113"/>
      <c r="CG292" s="113"/>
      <c r="CH292" s="113"/>
      <c r="CI292" s="113"/>
      <c r="CJ292" s="113"/>
      <c r="CK292" s="113"/>
    </row>
    <row r="293" spans="1:89" s="114" customFormat="1">
      <c r="A293" s="159"/>
      <c r="B293" s="129">
        <v>284</v>
      </c>
      <c r="C293" s="145" t="s">
        <v>353</v>
      </c>
      <c r="D293" s="123" t="s">
        <v>13</v>
      </c>
      <c r="E293" s="207"/>
      <c r="F293" s="208">
        <v>26.21</v>
      </c>
      <c r="G293" s="208"/>
      <c r="H293" s="208"/>
      <c r="I293" s="208"/>
      <c r="J293" s="147">
        <f t="shared" si="71"/>
        <v>0</v>
      </c>
      <c r="K293" s="147">
        <f t="shared" si="72"/>
        <v>0</v>
      </c>
      <c r="L293" s="147">
        <f t="shared" si="73"/>
        <v>0</v>
      </c>
      <c r="M293" s="147">
        <f t="shared" si="74"/>
        <v>0</v>
      </c>
      <c r="N293" s="133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8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8"/>
      <c r="BB293" s="108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8"/>
      <c r="BN293" s="108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8"/>
      <c r="BZ293" s="108"/>
      <c r="CA293" s="108"/>
      <c r="CB293" s="108"/>
      <c r="CC293" s="108"/>
      <c r="CD293" s="108"/>
      <c r="CE293" s="108"/>
      <c r="CF293" s="108"/>
      <c r="CG293" s="108"/>
      <c r="CH293" s="108"/>
      <c r="CI293" s="108"/>
      <c r="CJ293" s="108"/>
      <c r="CK293" s="108"/>
    </row>
    <row r="294" spans="1:89" s="101" customFormat="1" ht="24">
      <c r="A294" s="160"/>
      <c r="B294" s="129">
        <v>285</v>
      </c>
      <c r="C294" s="125" t="s">
        <v>494</v>
      </c>
      <c r="D294" s="123" t="s">
        <v>13</v>
      </c>
      <c r="E294" s="204"/>
      <c r="F294" s="147">
        <v>26.21</v>
      </c>
      <c r="G294" s="147">
        <v>2.5</v>
      </c>
      <c r="H294" s="147"/>
      <c r="I294" s="147">
        <v>0.25</v>
      </c>
      <c r="J294" s="147">
        <f t="shared" ref="J294:J302" si="75">F294*G294</f>
        <v>65.525000000000006</v>
      </c>
      <c r="K294" s="147">
        <f t="shared" ref="K294:K302" si="76">F294*H294</f>
        <v>0</v>
      </c>
      <c r="L294" s="147">
        <f t="shared" ref="L294:L302" si="77">F294*I294</f>
        <v>6.5525000000000002</v>
      </c>
      <c r="M294" s="147">
        <f t="shared" ref="M294:M302" si="78">J294+K294+L294</f>
        <v>72.077500000000001</v>
      </c>
      <c r="N294" s="149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BN294" s="104"/>
      <c r="BO294" s="104"/>
      <c r="BP294" s="104"/>
      <c r="BQ294" s="104"/>
      <c r="BR294" s="104"/>
      <c r="BS294" s="104"/>
      <c r="BT294" s="104"/>
      <c r="BU294" s="104"/>
      <c r="BV294" s="104"/>
      <c r="BW294" s="104"/>
      <c r="BX294" s="104"/>
      <c r="BY294" s="104"/>
      <c r="BZ294" s="104"/>
      <c r="CA294" s="104"/>
      <c r="CB294" s="104"/>
      <c r="CC294" s="104"/>
      <c r="CD294" s="104"/>
      <c r="CE294" s="104"/>
      <c r="CF294" s="104"/>
      <c r="CG294" s="104"/>
      <c r="CH294" s="104"/>
      <c r="CI294" s="104"/>
      <c r="CJ294" s="104"/>
      <c r="CK294" s="104"/>
    </row>
    <row r="295" spans="1:89" s="113" customFormat="1" ht="12.75" customHeight="1">
      <c r="A295" s="166"/>
      <c r="B295" s="129">
        <v>286</v>
      </c>
      <c r="C295" s="170" t="s">
        <v>350</v>
      </c>
      <c r="D295" s="124" t="s">
        <v>47</v>
      </c>
      <c r="E295" s="210"/>
      <c r="F295" s="205">
        <v>26</v>
      </c>
      <c r="G295" s="205"/>
      <c r="H295" s="205">
        <v>3.64</v>
      </c>
      <c r="I295" s="205">
        <f>H295*0.03</f>
        <v>0.10920000000000001</v>
      </c>
      <c r="J295" s="147">
        <f t="shared" si="75"/>
        <v>0</v>
      </c>
      <c r="K295" s="147">
        <f t="shared" si="76"/>
        <v>94.64</v>
      </c>
      <c r="L295" s="147">
        <f t="shared" si="77"/>
        <v>2.8391999999999999</v>
      </c>
      <c r="M295" s="147">
        <f t="shared" si="78"/>
        <v>97.479200000000006</v>
      </c>
    </row>
    <row r="296" spans="1:89" s="113" customFormat="1" ht="12.75" customHeight="1">
      <c r="A296" s="166"/>
      <c r="B296" s="129">
        <v>287</v>
      </c>
      <c r="C296" s="171" t="s">
        <v>349</v>
      </c>
      <c r="D296" s="124" t="s">
        <v>47</v>
      </c>
      <c r="E296" s="210"/>
      <c r="F296" s="205">
        <v>42</v>
      </c>
      <c r="G296" s="205"/>
      <c r="H296" s="205">
        <v>7.55</v>
      </c>
      <c r="I296" s="205">
        <v>8.3000000000000004E-2</v>
      </c>
      <c r="J296" s="147">
        <f t="shared" si="75"/>
        <v>0</v>
      </c>
      <c r="K296" s="147">
        <f t="shared" si="76"/>
        <v>317.09999999999997</v>
      </c>
      <c r="L296" s="147">
        <f t="shared" si="77"/>
        <v>3.4860000000000002</v>
      </c>
      <c r="M296" s="147">
        <f t="shared" si="78"/>
        <v>320.58599999999996</v>
      </c>
    </row>
    <row r="297" spans="1:89">
      <c r="A297" s="167"/>
      <c r="B297" s="129">
        <v>288</v>
      </c>
      <c r="C297" s="101"/>
      <c r="D297" s="123"/>
      <c r="E297" s="204"/>
      <c r="F297" s="147"/>
      <c r="G297" s="147"/>
      <c r="H297" s="147"/>
      <c r="I297" s="147"/>
      <c r="J297" s="147">
        <f t="shared" si="75"/>
        <v>0</v>
      </c>
      <c r="K297" s="147">
        <f t="shared" si="76"/>
        <v>0</v>
      </c>
      <c r="L297" s="147">
        <f t="shared" si="77"/>
        <v>0</v>
      </c>
      <c r="M297" s="147">
        <f t="shared" si="78"/>
        <v>0</v>
      </c>
      <c r="CD297" s="104"/>
      <c r="CE297" s="104"/>
      <c r="CF297" s="104"/>
      <c r="CG297" s="104"/>
      <c r="CH297" s="104"/>
      <c r="CI297" s="104"/>
      <c r="CJ297" s="104"/>
      <c r="CK297" s="104"/>
    </row>
    <row r="298" spans="1:89" s="107" customFormat="1">
      <c r="A298" s="159"/>
      <c r="B298" s="129">
        <v>289</v>
      </c>
      <c r="C298" s="145" t="s">
        <v>356</v>
      </c>
      <c r="D298" s="122"/>
      <c r="E298" s="207"/>
      <c r="F298" s="208"/>
      <c r="G298" s="208"/>
      <c r="H298" s="208"/>
      <c r="I298" s="208"/>
      <c r="J298" s="147">
        <f t="shared" si="75"/>
        <v>0</v>
      </c>
      <c r="K298" s="147">
        <f t="shared" si="76"/>
        <v>0</v>
      </c>
      <c r="L298" s="147">
        <f t="shared" si="77"/>
        <v>0</v>
      </c>
      <c r="M298" s="147">
        <f t="shared" si="78"/>
        <v>0</v>
      </c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  <c r="AK298" s="108"/>
      <c r="AL298" s="108"/>
      <c r="AM298" s="108"/>
      <c r="AN298" s="108"/>
      <c r="AO298" s="108"/>
      <c r="AP298" s="108"/>
      <c r="AQ298" s="108"/>
      <c r="AR298" s="108"/>
      <c r="AS298" s="108"/>
      <c r="AT298" s="108"/>
      <c r="AU298" s="108"/>
      <c r="AV298" s="108"/>
      <c r="AW298" s="108"/>
      <c r="AX298" s="108"/>
      <c r="AY298" s="108"/>
      <c r="AZ298" s="108"/>
      <c r="BA298" s="108"/>
      <c r="BB298" s="108"/>
      <c r="BC298" s="108"/>
      <c r="BD298" s="108"/>
      <c r="BE298" s="108"/>
      <c r="BF298" s="108"/>
      <c r="BG298" s="108"/>
      <c r="BH298" s="108"/>
      <c r="BI298" s="108"/>
      <c r="BJ298" s="108"/>
      <c r="BK298" s="108"/>
      <c r="BL298" s="108"/>
      <c r="BM298" s="108"/>
      <c r="BN298" s="108"/>
      <c r="BO298" s="108"/>
      <c r="BP298" s="108"/>
      <c r="BQ298" s="108"/>
      <c r="BR298" s="108"/>
      <c r="BS298" s="108"/>
      <c r="BT298" s="108"/>
      <c r="BU298" s="108"/>
      <c r="BV298" s="108"/>
      <c r="BW298" s="108"/>
      <c r="BX298" s="108"/>
      <c r="BY298" s="108"/>
      <c r="BZ298" s="108"/>
      <c r="CA298" s="108"/>
      <c r="CB298" s="108"/>
      <c r="CC298" s="108"/>
      <c r="CD298" s="108"/>
      <c r="CE298" s="108"/>
      <c r="CF298" s="108"/>
      <c r="CG298" s="108"/>
      <c r="CH298" s="108"/>
      <c r="CI298" s="108"/>
      <c r="CJ298" s="108"/>
      <c r="CK298" s="108"/>
    </row>
    <row r="299" spans="1:89" s="140" customFormat="1">
      <c r="A299" s="161"/>
      <c r="B299" s="129">
        <v>290</v>
      </c>
      <c r="C299" s="136" t="s">
        <v>361</v>
      </c>
      <c r="D299" s="137" t="s">
        <v>6</v>
      </c>
      <c r="E299" s="209"/>
      <c r="F299" s="206">
        <v>41.6</v>
      </c>
      <c r="G299" s="206"/>
      <c r="H299" s="206"/>
      <c r="I299" s="206"/>
      <c r="J299" s="147">
        <f t="shared" si="75"/>
        <v>0</v>
      </c>
      <c r="K299" s="147">
        <f t="shared" si="76"/>
        <v>0</v>
      </c>
      <c r="L299" s="147">
        <f t="shared" si="77"/>
        <v>0</v>
      </c>
      <c r="M299" s="147">
        <f t="shared" si="78"/>
        <v>0</v>
      </c>
      <c r="O299" s="139"/>
      <c r="P299" s="139"/>
      <c r="Q299" s="139"/>
      <c r="R299" s="139"/>
      <c r="S299" s="139"/>
      <c r="T299" s="139"/>
      <c r="U299" s="139"/>
      <c r="V299" s="139"/>
      <c r="W299" s="139"/>
      <c r="X299" s="139"/>
      <c r="Y299" s="139"/>
      <c r="Z299" s="139"/>
      <c r="AA299" s="139"/>
      <c r="AB299" s="139"/>
      <c r="AC299" s="139"/>
      <c r="AD299" s="139"/>
      <c r="AE299" s="139"/>
      <c r="AF299" s="139"/>
      <c r="AG299" s="139"/>
      <c r="AH299" s="139"/>
      <c r="AI299" s="139"/>
      <c r="AJ299" s="139"/>
      <c r="AK299" s="139"/>
      <c r="AL299" s="139"/>
      <c r="AM299" s="139"/>
      <c r="AN299" s="139"/>
      <c r="AO299" s="139"/>
      <c r="AP299" s="139"/>
      <c r="AQ299" s="139"/>
      <c r="AR299" s="139"/>
      <c r="AS299" s="139"/>
      <c r="AT299" s="139"/>
      <c r="AU299" s="139"/>
      <c r="AV299" s="139"/>
      <c r="AW299" s="139"/>
      <c r="AX299" s="139"/>
      <c r="AY299" s="139"/>
      <c r="AZ299" s="139"/>
      <c r="BA299" s="139"/>
      <c r="BB299" s="139"/>
      <c r="BC299" s="139"/>
      <c r="BD299" s="139"/>
      <c r="BE299" s="139"/>
      <c r="BF299" s="139"/>
      <c r="BG299" s="139"/>
      <c r="BH299" s="139"/>
      <c r="BI299" s="139"/>
      <c r="BJ299" s="139"/>
      <c r="BK299" s="139"/>
      <c r="BL299" s="139"/>
      <c r="BM299" s="139"/>
      <c r="BN299" s="139"/>
      <c r="BO299" s="139"/>
      <c r="BP299" s="139"/>
      <c r="BQ299" s="139"/>
      <c r="BR299" s="139"/>
      <c r="BS299" s="139"/>
      <c r="BT299" s="139"/>
      <c r="BU299" s="139"/>
      <c r="BV299" s="139"/>
      <c r="BW299" s="139"/>
      <c r="BX299" s="139"/>
      <c r="BY299" s="139"/>
      <c r="BZ299" s="139"/>
      <c r="CA299" s="139"/>
      <c r="CB299" s="139"/>
      <c r="CC299" s="139"/>
      <c r="CD299" s="139"/>
      <c r="CE299" s="139"/>
      <c r="CF299" s="139"/>
      <c r="CG299" s="139"/>
      <c r="CH299" s="139"/>
      <c r="CI299" s="139"/>
      <c r="CJ299" s="139"/>
      <c r="CK299" s="139"/>
    </row>
    <row r="300" spans="1:89">
      <c r="A300" s="160"/>
      <c r="B300" s="129">
        <v>291</v>
      </c>
      <c r="C300" s="152" t="s">
        <v>362</v>
      </c>
      <c r="D300" s="123" t="s">
        <v>6</v>
      </c>
      <c r="E300" s="204"/>
      <c r="F300" s="147">
        <v>41.6</v>
      </c>
      <c r="G300" s="147">
        <v>7.4999999999999997E-2</v>
      </c>
      <c r="H300" s="147"/>
      <c r="I300" s="147">
        <f>(G300*0.1)+(H300*0.03)</f>
        <v>7.4999999999999997E-3</v>
      </c>
      <c r="J300" s="147">
        <f t="shared" si="75"/>
        <v>3.12</v>
      </c>
      <c r="K300" s="147">
        <f t="shared" si="76"/>
        <v>0</v>
      </c>
      <c r="L300" s="147">
        <f t="shared" si="77"/>
        <v>0.312</v>
      </c>
      <c r="M300" s="147">
        <f t="shared" si="78"/>
        <v>3.4319999999999999</v>
      </c>
      <c r="CD300" s="104"/>
      <c r="CE300" s="104"/>
      <c r="CF300" s="104"/>
      <c r="CG300" s="104"/>
      <c r="CH300" s="104"/>
      <c r="CI300" s="104"/>
      <c r="CJ300" s="104"/>
      <c r="CK300" s="104"/>
    </row>
    <row r="301" spans="1:89">
      <c r="A301" s="160"/>
      <c r="B301" s="129">
        <v>292</v>
      </c>
      <c r="C301" s="152" t="s">
        <v>363</v>
      </c>
      <c r="D301" s="123" t="s">
        <v>6</v>
      </c>
      <c r="E301" s="204"/>
      <c r="F301" s="147">
        <v>41.6</v>
      </c>
      <c r="G301" s="147">
        <v>0.15</v>
      </c>
      <c r="H301" s="147"/>
      <c r="I301" s="147">
        <f t="shared" ref="I301:I363" si="79">(G301*0.1)+(H301*0.03)</f>
        <v>1.4999999999999999E-2</v>
      </c>
      <c r="J301" s="147">
        <f t="shared" si="75"/>
        <v>6.24</v>
      </c>
      <c r="K301" s="147">
        <f t="shared" si="76"/>
        <v>0</v>
      </c>
      <c r="L301" s="147">
        <f t="shared" si="77"/>
        <v>0.624</v>
      </c>
      <c r="M301" s="147">
        <f t="shared" si="78"/>
        <v>6.8639999999999999</v>
      </c>
      <c r="CD301" s="104"/>
      <c r="CE301" s="104"/>
      <c r="CF301" s="104"/>
      <c r="CG301" s="104"/>
      <c r="CH301" s="104"/>
      <c r="CI301" s="104"/>
      <c r="CJ301" s="104"/>
      <c r="CK301" s="104"/>
    </row>
    <row r="302" spans="1:89" ht="13.5" customHeight="1">
      <c r="A302" s="160"/>
      <c r="B302" s="129">
        <v>293</v>
      </c>
      <c r="C302" s="153" t="s">
        <v>368</v>
      </c>
      <c r="D302" s="123" t="s">
        <v>6</v>
      </c>
      <c r="E302" s="204">
        <v>6</v>
      </c>
      <c r="F302" s="147">
        <v>41.6</v>
      </c>
      <c r="G302" s="147">
        <v>1.43</v>
      </c>
      <c r="H302" s="147"/>
      <c r="I302" s="147">
        <f t="shared" si="79"/>
        <v>0.14299999999999999</v>
      </c>
      <c r="J302" s="147">
        <f t="shared" si="75"/>
        <v>59.488</v>
      </c>
      <c r="K302" s="147">
        <f t="shared" si="76"/>
        <v>0</v>
      </c>
      <c r="L302" s="147">
        <f t="shared" si="77"/>
        <v>5.9487999999999994</v>
      </c>
      <c r="M302" s="147">
        <f t="shared" si="78"/>
        <v>65.436800000000005</v>
      </c>
      <c r="CD302" s="104"/>
      <c r="CE302" s="104"/>
      <c r="CF302" s="104"/>
      <c r="CG302" s="104"/>
      <c r="CH302" s="104"/>
      <c r="CI302" s="104"/>
      <c r="CJ302" s="104"/>
      <c r="CK302" s="104"/>
    </row>
    <row r="303" spans="1:89" s="112" customFormat="1">
      <c r="A303" s="162"/>
      <c r="B303" s="129">
        <v>294</v>
      </c>
      <c r="C303" s="118" t="s">
        <v>364</v>
      </c>
      <c r="D303" s="124" t="s">
        <v>6</v>
      </c>
      <c r="E303" s="210"/>
      <c r="F303" s="205">
        <f>F300*1.1</f>
        <v>45.760000000000005</v>
      </c>
      <c r="G303" s="205"/>
      <c r="H303" s="205">
        <v>0.1</v>
      </c>
      <c r="I303" s="147">
        <f t="shared" si="79"/>
        <v>3.0000000000000001E-3</v>
      </c>
      <c r="J303" s="147">
        <f t="shared" ref="J303:J316" si="80">F303*G303</f>
        <v>0</v>
      </c>
      <c r="K303" s="147">
        <f t="shared" ref="K303:K316" si="81">F303*H303</f>
        <v>4.5760000000000005</v>
      </c>
      <c r="L303" s="147">
        <f t="shared" ref="L303:L316" si="82">F303*I303</f>
        <v>0.13728000000000001</v>
      </c>
      <c r="M303" s="147">
        <f t="shared" ref="M303:M316" si="83">J303+K303+L303</f>
        <v>4.7132800000000001</v>
      </c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113"/>
      <c r="AO303" s="113"/>
      <c r="AP303" s="113"/>
      <c r="AQ303" s="113"/>
      <c r="AR303" s="113"/>
      <c r="AS303" s="113"/>
      <c r="AT303" s="113"/>
      <c r="AU303" s="113"/>
      <c r="AV303" s="113"/>
      <c r="AW303" s="113"/>
      <c r="AX303" s="113"/>
      <c r="AY303" s="113"/>
      <c r="AZ303" s="113"/>
      <c r="BA303" s="113"/>
      <c r="BB303" s="113"/>
      <c r="BC303" s="113"/>
      <c r="BD303" s="113"/>
      <c r="BE303" s="113"/>
      <c r="BF303" s="113"/>
      <c r="BG303" s="113"/>
      <c r="BH303" s="113"/>
      <c r="BI303" s="113"/>
      <c r="BJ303" s="113"/>
      <c r="BK303" s="113"/>
      <c r="BL303" s="113"/>
      <c r="BM303" s="113"/>
      <c r="BN303" s="113"/>
      <c r="BO303" s="113"/>
      <c r="BP303" s="113"/>
      <c r="BQ303" s="113"/>
      <c r="BR303" s="113"/>
      <c r="BS303" s="113"/>
      <c r="BT303" s="113"/>
      <c r="BU303" s="113"/>
      <c r="BV303" s="113"/>
      <c r="BW303" s="113"/>
      <c r="BX303" s="113"/>
      <c r="BY303" s="113"/>
      <c r="BZ303" s="113"/>
      <c r="CA303" s="113"/>
      <c r="CB303" s="113"/>
      <c r="CC303" s="113"/>
      <c r="CD303" s="113"/>
      <c r="CE303" s="113"/>
      <c r="CF303" s="113"/>
      <c r="CG303" s="113"/>
      <c r="CH303" s="113"/>
      <c r="CI303" s="113"/>
      <c r="CJ303" s="113"/>
      <c r="CK303" s="113"/>
    </row>
    <row r="304" spans="1:89" s="112" customFormat="1">
      <c r="A304" s="162"/>
      <c r="B304" s="129">
        <v>295</v>
      </c>
      <c r="C304" s="118" t="s">
        <v>365</v>
      </c>
      <c r="D304" s="124" t="s">
        <v>13</v>
      </c>
      <c r="E304" s="210"/>
      <c r="F304" s="205">
        <f>F301*0.05*1.03</f>
        <v>2.1424000000000003</v>
      </c>
      <c r="G304" s="205"/>
      <c r="H304" s="205">
        <v>27</v>
      </c>
      <c r="I304" s="147">
        <f t="shared" si="79"/>
        <v>0.80999999999999994</v>
      </c>
      <c r="J304" s="147">
        <f t="shared" si="80"/>
        <v>0</v>
      </c>
      <c r="K304" s="147">
        <f t="shared" si="81"/>
        <v>57.844800000000006</v>
      </c>
      <c r="L304" s="147">
        <f t="shared" si="82"/>
        <v>1.7353440000000002</v>
      </c>
      <c r="M304" s="147">
        <f t="shared" si="83"/>
        <v>59.580144000000004</v>
      </c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  <c r="AF304" s="113"/>
      <c r="AG304" s="113"/>
      <c r="AH304" s="113"/>
      <c r="AI304" s="113"/>
      <c r="AJ304" s="113"/>
      <c r="AK304" s="113"/>
      <c r="AL304" s="113"/>
      <c r="AM304" s="113"/>
      <c r="AN304" s="113"/>
      <c r="AO304" s="113"/>
      <c r="AP304" s="113"/>
      <c r="AQ304" s="113"/>
      <c r="AR304" s="113"/>
      <c r="AS304" s="113"/>
      <c r="AT304" s="113"/>
      <c r="AU304" s="113"/>
      <c r="AV304" s="113"/>
      <c r="AW304" s="113"/>
      <c r="AX304" s="113"/>
      <c r="AY304" s="113"/>
      <c r="AZ304" s="113"/>
      <c r="BA304" s="113"/>
      <c r="BB304" s="113"/>
      <c r="BC304" s="113"/>
      <c r="BD304" s="113"/>
      <c r="BE304" s="113"/>
      <c r="BF304" s="113"/>
      <c r="BG304" s="113"/>
      <c r="BH304" s="113"/>
      <c r="BI304" s="113"/>
      <c r="BJ304" s="113"/>
      <c r="BK304" s="113"/>
      <c r="BL304" s="113"/>
      <c r="BM304" s="113"/>
      <c r="BN304" s="113"/>
      <c r="BO304" s="113"/>
      <c r="BP304" s="113"/>
      <c r="BQ304" s="113"/>
      <c r="BR304" s="113"/>
      <c r="BS304" s="113"/>
      <c r="BT304" s="113"/>
      <c r="BU304" s="113"/>
      <c r="BV304" s="113"/>
      <c r="BW304" s="113"/>
      <c r="BX304" s="113"/>
      <c r="BY304" s="113"/>
      <c r="BZ304" s="113"/>
      <c r="CA304" s="113"/>
      <c r="CB304" s="113"/>
      <c r="CC304" s="113"/>
      <c r="CD304" s="113"/>
      <c r="CE304" s="113"/>
      <c r="CF304" s="113"/>
      <c r="CG304" s="113"/>
      <c r="CH304" s="113"/>
      <c r="CI304" s="113"/>
      <c r="CJ304" s="113"/>
      <c r="CK304" s="113"/>
    </row>
    <row r="305" spans="1:89" s="112" customFormat="1">
      <c r="A305" s="162"/>
      <c r="B305" s="129">
        <v>296</v>
      </c>
      <c r="C305" s="118" t="s">
        <v>366</v>
      </c>
      <c r="D305" s="123" t="s">
        <v>6</v>
      </c>
      <c r="E305" s="204">
        <v>6</v>
      </c>
      <c r="F305" s="147">
        <f>F300</f>
        <v>41.6</v>
      </c>
      <c r="G305" s="147"/>
      <c r="H305" s="147">
        <v>1.1200000000000001</v>
      </c>
      <c r="I305" s="147">
        <f t="shared" si="79"/>
        <v>3.3600000000000005E-2</v>
      </c>
      <c r="J305" s="147">
        <f t="shared" si="80"/>
        <v>0</v>
      </c>
      <c r="K305" s="147">
        <f t="shared" si="81"/>
        <v>46.592000000000006</v>
      </c>
      <c r="L305" s="147">
        <f t="shared" si="82"/>
        <v>1.3977600000000003</v>
      </c>
      <c r="M305" s="147">
        <f t="shared" si="83"/>
        <v>47.989760000000004</v>
      </c>
      <c r="N305" s="102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  <c r="BE305" s="113"/>
      <c r="BF305" s="113"/>
      <c r="BG305" s="113"/>
      <c r="BH305" s="113"/>
      <c r="BI305" s="113"/>
      <c r="BJ305" s="113"/>
      <c r="BK305" s="113"/>
      <c r="BL305" s="113"/>
      <c r="BM305" s="113"/>
      <c r="BN305" s="113"/>
      <c r="BO305" s="113"/>
      <c r="BP305" s="113"/>
      <c r="BQ305" s="113"/>
      <c r="BR305" s="113"/>
      <c r="BS305" s="113"/>
      <c r="BT305" s="113"/>
      <c r="BU305" s="113"/>
      <c r="BV305" s="113"/>
      <c r="BW305" s="113"/>
      <c r="BX305" s="113"/>
      <c r="BY305" s="113"/>
      <c r="BZ305" s="113"/>
      <c r="CA305" s="113"/>
      <c r="CB305" s="113"/>
      <c r="CC305" s="113"/>
      <c r="CD305" s="113"/>
      <c r="CE305" s="113"/>
      <c r="CF305" s="113"/>
      <c r="CG305" s="113"/>
      <c r="CH305" s="113"/>
      <c r="CI305" s="113"/>
      <c r="CJ305" s="113"/>
      <c r="CK305" s="113"/>
    </row>
    <row r="306" spans="1:89" s="112" customFormat="1">
      <c r="A306" s="162"/>
      <c r="B306" s="129">
        <v>297</v>
      </c>
      <c r="C306" s="118" t="s">
        <v>367</v>
      </c>
      <c r="D306" s="124" t="s">
        <v>13</v>
      </c>
      <c r="E306" s="210"/>
      <c r="F306" s="205">
        <f>F300*0.05*1.05</f>
        <v>2.1840000000000002</v>
      </c>
      <c r="G306" s="205"/>
      <c r="H306" s="205">
        <v>25.8</v>
      </c>
      <c r="I306" s="147">
        <f t="shared" si="79"/>
        <v>0.77400000000000002</v>
      </c>
      <c r="J306" s="147">
        <f t="shared" si="80"/>
        <v>0</v>
      </c>
      <c r="K306" s="147">
        <f t="shared" si="81"/>
        <v>56.347200000000008</v>
      </c>
      <c r="L306" s="147">
        <f t="shared" si="82"/>
        <v>1.6904160000000001</v>
      </c>
      <c r="M306" s="147">
        <f t="shared" si="83"/>
        <v>58.037616000000007</v>
      </c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  <c r="AF306" s="113"/>
      <c r="AG306" s="113"/>
      <c r="AH306" s="113"/>
      <c r="AI306" s="113"/>
      <c r="AJ306" s="113"/>
      <c r="AK306" s="113"/>
      <c r="AL306" s="113"/>
      <c r="AM306" s="113"/>
      <c r="AN306" s="113"/>
      <c r="AO306" s="113"/>
      <c r="AP306" s="113"/>
      <c r="AQ306" s="113"/>
      <c r="AR306" s="113"/>
      <c r="AS306" s="113"/>
      <c r="AT306" s="113"/>
      <c r="AU306" s="113"/>
      <c r="AV306" s="113"/>
      <c r="AW306" s="113"/>
      <c r="AX306" s="113"/>
      <c r="AY306" s="113"/>
      <c r="AZ306" s="113"/>
      <c r="BA306" s="113"/>
      <c r="BB306" s="113"/>
      <c r="BC306" s="113"/>
      <c r="BD306" s="113"/>
      <c r="BE306" s="113"/>
      <c r="BF306" s="113"/>
      <c r="BG306" s="113"/>
      <c r="BH306" s="113"/>
      <c r="BI306" s="113"/>
      <c r="BJ306" s="113"/>
      <c r="BK306" s="113"/>
      <c r="BL306" s="113"/>
      <c r="BM306" s="113"/>
      <c r="BN306" s="113"/>
      <c r="BO306" s="113"/>
      <c r="BP306" s="113"/>
      <c r="BQ306" s="113"/>
      <c r="BR306" s="113"/>
      <c r="BS306" s="113"/>
      <c r="BT306" s="113"/>
      <c r="BU306" s="113"/>
      <c r="BV306" s="113"/>
      <c r="BW306" s="113"/>
      <c r="BX306" s="113"/>
      <c r="BY306" s="113"/>
      <c r="BZ306" s="113"/>
      <c r="CA306" s="113"/>
      <c r="CB306" s="113"/>
      <c r="CC306" s="113"/>
      <c r="CD306" s="113"/>
      <c r="CE306" s="113"/>
      <c r="CF306" s="113"/>
      <c r="CG306" s="113"/>
      <c r="CH306" s="113"/>
      <c r="CI306" s="113"/>
      <c r="CJ306" s="113"/>
      <c r="CK306" s="113"/>
    </row>
    <row r="307" spans="1:89">
      <c r="A307" s="160"/>
      <c r="B307" s="129">
        <v>298</v>
      </c>
      <c r="C307" s="125" t="s">
        <v>411</v>
      </c>
      <c r="D307" s="123"/>
      <c r="E307" s="204"/>
      <c r="F307" s="147"/>
      <c r="G307" s="147"/>
      <c r="H307" s="147"/>
      <c r="I307" s="147"/>
      <c r="J307" s="147">
        <f t="shared" si="80"/>
        <v>0</v>
      </c>
      <c r="K307" s="147">
        <f t="shared" si="81"/>
        <v>0</v>
      </c>
      <c r="L307" s="147">
        <f t="shared" si="82"/>
        <v>0</v>
      </c>
      <c r="M307" s="147">
        <f t="shared" si="83"/>
        <v>0</v>
      </c>
      <c r="CD307" s="104"/>
      <c r="CE307" s="104"/>
      <c r="CF307" s="104"/>
      <c r="CG307" s="104"/>
      <c r="CH307" s="104"/>
      <c r="CI307" s="104"/>
      <c r="CJ307" s="104"/>
      <c r="CK307" s="104"/>
    </row>
    <row r="308" spans="1:89" s="112" customFormat="1">
      <c r="A308" s="162"/>
      <c r="B308" s="129">
        <v>299</v>
      </c>
      <c r="C308" s="106" t="s">
        <v>92</v>
      </c>
      <c r="D308" s="123" t="s">
        <v>6</v>
      </c>
      <c r="E308" s="117"/>
      <c r="F308" s="205">
        <v>15</v>
      </c>
      <c r="G308" s="205"/>
      <c r="H308" s="205">
        <v>0.04</v>
      </c>
      <c r="I308" s="147">
        <f t="shared" si="79"/>
        <v>1.1999999999999999E-3</v>
      </c>
      <c r="J308" s="147">
        <f t="shared" si="80"/>
        <v>0</v>
      </c>
      <c r="K308" s="147">
        <f t="shared" si="81"/>
        <v>0.6</v>
      </c>
      <c r="L308" s="147">
        <f t="shared" si="82"/>
        <v>1.7999999999999999E-2</v>
      </c>
      <c r="M308" s="147">
        <f t="shared" si="83"/>
        <v>0.61799999999999999</v>
      </c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3"/>
      <c r="AH308" s="113"/>
      <c r="AI308" s="113"/>
      <c r="AJ308" s="113"/>
      <c r="AK308" s="113"/>
      <c r="AL308" s="113"/>
      <c r="AM308" s="113"/>
      <c r="AN308" s="113"/>
      <c r="AO308" s="113"/>
      <c r="AP308" s="113"/>
      <c r="AQ308" s="113"/>
      <c r="AR308" s="113"/>
      <c r="AS308" s="113"/>
      <c r="AT308" s="113"/>
      <c r="AU308" s="113"/>
      <c r="AV308" s="113"/>
      <c r="AW308" s="113"/>
      <c r="AX308" s="113"/>
      <c r="AY308" s="113"/>
      <c r="AZ308" s="113"/>
      <c r="BA308" s="113"/>
      <c r="BB308" s="113"/>
      <c r="BC308" s="113"/>
      <c r="BD308" s="113"/>
      <c r="BE308" s="113"/>
      <c r="BF308" s="113"/>
      <c r="BG308" s="113"/>
      <c r="BH308" s="113"/>
      <c r="BI308" s="113"/>
      <c r="BJ308" s="113"/>
      <c r="BK308" s="113"/>
      <c r="BL308" s="113"/>
      <c r="BM308" s="113"/>
      <c r="BN308" s="113"/>
      <c r="BO308" s="113"/>
      <c r="BP308" s="113"/>
      <c r="BQ308" s="113"/>
      <c r="BR308" s="113"/>
      <c r="BS308" s="113"/>
      <c r="BT308" s="113"/>
      <c r="BU308" s="113"/>
      <c r="BV308" s="113"/>
      <c r="BW308" s="113"/>
      <c r="BX308" s="113"/>
      <c r="BY308" s="113"/>
      <c r="BZ308" s="113"/>
      <c r="CA308" s="113"/>
      <c r="CB308" s="113"/>
      <c r="CC308" s="113"/>
      <c r="CD308" s="113"/>
      <c r="CE308" s="113"/>
      <c r="CF308" s="113"/>
      <c r="CG308" s="113"/>
      <c r="CH308" s="113"/>
      <c r="CI308" s="113"/>
      <c r="CJ308" s="113"/>
      <c r="CK308" s="113"/>
    </row>
    <row r="309" spans="1:89" s="112" customFormat="1">
      <c r="A309" s="162"/>
      <c r="B309" s="129">
        <v>300</v>
      </c>
      <c r="C309" s="106" t="s">
        <v>93</v>
      </c>
      <c r="D309" s="124" t="s">
        <v>47</v>
      </c>
      <c r="E309" s="117"/>
      <c r="F309" s="205">
        <v>25</v>
      </c>
      <c r="G309" s="205"/>
      <c r="H309" s="205">
        <v>0.6</v>
      </c>
      <c r="I309" s="147">
        <f t="shared" si="79"/>
        <v>1.7999999999999999E-2</v>
      </c>
      <c r="J309" s="147">
        <f t="shared" si="80"/>
        <v>0</v>
      </c>
      <c r="K309" s="147">
        <f t="shared" si="81"/>
        <v>15</v>
      </c>
      <c r="L309" s="147">
        <f t="shared" si="82"/>
        <v>0.44999999999999996</v>
      </c>
      <c r="M309" s="147">
        <f t="shared" si="83"/>
        <v>15.45</v>
      </c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  <c r="AF309" s="113"/>
      <c r="AG309" s="113"/>
      <c r="AH309" s="113"/>
      <c r="AI309" s="113"/>
      <c r="AJ309" s="113"/>
      <c r="AK309" s="113"/>
      <c r="AL309" s="113"/>
      <c r="AM309" s="113"/>
      <c r="AN309" s="113"/>
      <c r="AO309" s="113"/>
      <c r="AP309" s="113"/>
      <c r="AQ309" s="113"/>
      <c r="AR309" s="113"/>
      <c r="AS309" s="113"/>
      <c r="AT309" s="113"/>
      <c r="AU309" s="113"/>
      <c r="AV309" s="113"/>
      <c r="AW309" s="113"/>
      <c r="AX309" s="113"/>
      <c r="AY309" s="113"/>
      <c r="AZ309" s="113"/>
      <c r="BA309" s="113"/>
      <c r="BB309" s="113"/>
      <c r="BC309" s="113"/>
      <c r="BD309" s="113"/>
      <c r="BE309" s="113"/>
      <c r="BF309" s="113"/>
      <c r="BG309" s="113"/>
      <c r="BH309" s="113"/>
      <c r="BI309" s="113"/>
      <c r="BJ309" s="113"/>
      <c r="BK309" s="113"/>
      <c r="BL309" s="113"/>
      <c r="BM309" s="113"/>
      <c r="BN309" s="113"/>
      <c r="BO309" s="113"/>
      <c r="BP309" s="113"/>
      <c r="BQ309" s="113"/>
      <c r="BR309" s="113"/>
      <c r="BS309" s="113"/>
      <c r="BT309" s="113"/>
      <c r="BU309" s="113"/>
      <c r="BV309" s="113"/>
      <c r="BW309" s="113"/>
      <c r="BX309" s="113"/>
      <c r="BY309" s="113"/>
      <c r="BZ309" s="113"/>
      <c r="CA309" s="113"/>
      <c r="CB309" s="113"/>
      <c r="CC309" s="113"/>
      <c r="CD309" s="113"/>
      <c r="CE309" s="113"/>
      <c r="CF309" s="113"/>
      <c r="CG309" s="113"/>
      <c r="CH309" s="113"/>
      <c r="CI309" s="113"/>
      <c r="CJ309" s="113"/>
      <c r="CK309" s="113"/>
    </row>
    <row r="310" spans="1:89">
      <c r="A310" s="160"/>
      <c r="B310" s="129">
        <v>301</v>
      </c>
      <c r="C310" s="125" t="s">
        <v>382</v>
      </c>
      <c r="D310" s="123" t="s">
        <v>6</v>
      </c>
      <c r="E310" s="204">
        <v>64.8</v>
      </c>
      <c r="F310" s="211">
        <v>0.8</v>
      </c>
      <c r="G310" s="211">
        <v>11.2</v>
      </c>
      <c r="H310" s="147"/>
      <c r="I310" s="147">
        <f t="shared" si="79"/>
        <v>1.1199999999999999</v>
      </c>
      <c r="J310" s="147">
        <f t="shared" si="80"/>
        <v>8.9599999999999991</v>
      </c>
      <c r="K310" s="147">
        <f t="shared" si="81"/>
        <v>0</v>
      </c>
      <c r="L310" s="147">
        <f t="shared" si="82"/>
        <v>0.89599999999999991</v>
      </c>
      <c r="M310" s="147">
        <f t="shared" si="83"/>
        <v>9.8559999999999981</v>
      </c>
      <c r="CD310" s="104"/>
      <c r="CE310" s="104"/>
      <c r="CF310" s="104"/>
      <c r="CG310" s="104"/>
      <c r="CH310" s="104"/>
      <c r="CI310" s="104"/>
      <c r="CJ310" s="104"/>
      <c r="CK310" s="104"/>
    </row>
    <row r="311" spans="1:89">
      <c r="B311" s="129">
        <v>302</v>
      </c>
      <c r="C311" s="173" t="s">
        <v>370</v>
      </c>
      <c r="D311" s="123" t="s">
        <v>11</v>
      </c>
      <c r="E311" s="129"/>
      <c r="F311" s="147">
        <v>2</v>
      </c>
      <c r="G311" s="211">
        <v>15.4</v>
      </c>
      <c r="H311" s="147"/>
      <c r="I311" s="147">
        <f t="shared" si="79"/>
        <v>1.54</v>
      </c>
      <c r="J311" s="147">
        <f t="shared" si="80"/>
        <v>30.8</v>
      </c>
      <c r="K311" s="147">
        <f t="shared" si="81"/>
        <v>0</v>
      </c>
      <c r="L311" s="147">
        <f t="shared" si="82"/>
        <v>3.08</v>
      </c>
      <c r="M311" s="147">
        <f t="shared" si="83"/>
        <v>33.880000000000003</v>
      </c>
      <c r="CD311" s="104"/>
      <c r="CE311" s="104"/>
      <c r="CF311" s="104"/>
      <c r="CG311" s="104"/>
      <c r="CH311" s="104"/>
      <c r="CI311" s="104"/>
      <c r="CJ311" s="104"/>
      <c r="CK311" s="104"/>
    </row>
    <row r="312" spans="1:89">
      <c r="B312" s="129">
        <v>303</v>
      </c>
      <c r="C312" s="173" t="s">
        <v>371</v>
      </c>
      <c r="D312" s="123" t="s">
        <v>11</v>
      </c>
      <c r="E312" s="204">
        <v>1</v>
      </c>
      <c r="F312" s="147"/>
      <c r="G312" s="147">
        <v>14</v>
      </c>
      <c r="H312" s="147">
        <v>141</v>
      </c>
      <c r="I312" s="147">
        <f t="shared" si="79"/>
        <v>5.63</v>
      </c>
      <c r="J312" s="147">
        <f t="shared" si="80"/>
        <v>0</v>
      </c>
      <c r="K312" s="147">
        <f t="shared" si="81"/>
        <v>0</v>
      </c>
      <c r="L312" s="147">
        <f t="shared" si="82"/>
        <v>0</v>
      </c>
      <c r="M312" s="147">
        <f t="shared" si="83"/>
        <v>0</v>
      </c>
      <c r="CD312" s="104"/>
      <c r="CE312" s="104"/>
      <c r="CF312" s="104"/>
      <c r="CG312" s="104"/>
      <c r="CH312" s="104"/>
      <c r="CI312" s="104"/>
      <c r="CJ312" s="104"/>
      <c r="CK312" s="104"/>
    </row>
    <row r="313" spans="1:89">
      <c r="B313" s="129">
        <v>304</v>
      </c>
      <c r="C313" s="106" t="s">
        <v>372</v>
      </c>
      <c r="D313" s="123" t="s">
        <v>6</v>
      </c>
      <c r="E313" s="129"/>
      <c r="F313" s="147">
        <v>0.8</v>
      </c>
      <c r="G313" s="147"/>
      <c r="H313" s="211">
        <v>51</v>
      </c>
      <c r="I313" s="147">
        <f t="shared" si="79"/>
        <v>1.53</v>
      </c>
      <c r="J313" s="147">
        <f t="shared" si="80"/>
        <v>0</v>
      </c>
      <c r="K313" s="147">
        <f t="shared" si="81"/>
        <v>40.800000000000004</v>
      </c>
      <c r="L313" s="147">
        <f t="shared" si="82"/>
        <v>1.2240000000000002</v>
      </c>
      <c r="M313" s="147">
        <f t="shared" si="83"/>
        <v>42.024000000000001</v>
      </c>
      <c r="CD313" s="104"/>
      <c r="CE313" s="104"/>
      <c r="CF313" s="104"/>
      <c r="CG313" s="104"/>
      <c r="CH313" s="104"/>
      <c r="CI313" s="104"/>
      <c r="CJ313" s="104"/>
      <c r="CK313" s="104"/>
    </row>
    <row r="314" spans="1:89">
      <c r="B314" s="129">
        <v>305</v>
      </c>
      <c r="C314" s="106" t="s">
        <v>412</v>
      </c>
      <c r="D314" s="180" t="s">
        <v>11</v>
      </c>
      <c r="E314" s="172">
        <v>2</v>
      </c>
      <c r="F314" s="147">
        <v>2</v>
      </c>
      <c r="G314" s="147"/>
      <c r="H314" s="211">
        <v>73</v>
      </c>
      <c r="I314" s="147">
        <f t="shared" si="79"/>
        <v>2.19</v>
      </c>
      <c r="J314" s="147">
        <f t="shared" si="80"/>
        <v>0</v>
      </c>
      <c r="K314" s="147">
        <f t="shared" si="81"/>
        <v>146</v>
      </c>
      <c r="L314" s="147">
        <f t="shared" si="82"/>
        <v>4.38</v>
      </c>
      <c r="M314" s="147">
        <f t="shared" si="83"/>
        <v>150.38</v>
      </c>
      <c r="CD314" s="104"/>
      <c r="CE314" s="104"/>
      <c r="CF314" s="104"/>
      <c r="CG314" s="104"/>
      <c r="CH314" s="104"/>
      <c r="CI314" s="104"/>
      <c r="CJ314" s="104"/>
      <c r="CK314" s="104"/>
    </row>
    <row r="315" spans="1:89">
      <c r="B315" s="129">
        <v>306</v>
      </c>
      <c r="C315" s="106" t="s">
        <v>373</v>
      </c>
      <c r="D315" s="123" t="s">
        <v>275</v>
      </c>
      <c r="E315" s="129"/>
      <c r="F315" s="147">
        <v>2</v>
      </c>
      <c r="G315" s="147">
        <v>2.5</v>
      </c>
      <c r="H315" s="147"/>
      <c r="I315" s="147">
        <f t="shared" si="79"/>
        <v>0.25</v>
      </c>
      <c r="J315" s="147">
        <f t="shared" si="80"/>
        <v>5</v>
      </c>
      <c r="K315" s="147">
        <f t="shared" si="81"/>
        <v>0</v>
      </c>
      <c r="L315" s="147">
        <f t="shared" si="82"/>
        <v>0.5</v>
      </c>
      <c r="M315" s="147">
        <f t="shared" si="83"/>
        <v>5.5</v>
      </c>
      <c r="CD315" s="104"/>
      <c r="CE315" s="104"/>
      <c r="CF315" s="104"/>
      <c r="CG315" s="104"/>
      <c r="CH315" s="104"/>
      <c r="CI315" s="104"/>
      <c r="CJ315" s="104"/>
      <c r="CK315" s="104"/>
    </row>
    <row r="316" spans="1:89">
      <c r="B316" s="129">
        <v>307</v>
      </c>
      <c r="C316" s="106" t="s">
        <v>500</v>
      </c>
      <c r="D316" s="123" t="s">
        <v>176</v>
      </c>
      <c r="E316" s="129"/>
      <c r="F316" s="147">
        <v>4</v>
      </c>
      <c r="G316" s="147">
        <v>0.84</v>
      </c>
      <c r="H316" s="147">
        <v>2.4300000000000002</v>
      </c>
      <c r="I316" s="147">
        <f t="shared" si="79"/>
        <v>0.15690000000000001</v>
      </c>
      <c r="J316" s="147">
        <f t="shared" si="80"/>
        <v>3.36</v>
      </c>
      <c r="K316" s="147">
        <f t="shared" si="81"/>
        <v>9.7200000000000006</v>
      </c>
      <c r="L316" s="147">
        <f t="shared" si="82"/>
        <v>0.62760000000000005</v>
      </c>
      <c r="M316" s="147">
        <f t="shared" si="83"/>
        <v>13.707599999999999</v>
      </c>
      <c r="CD316" s="104"/>
      <c r="CE316" s="104"/>
      <c r="CF316" s="104"/>
      <c r="CG316" s="104"/>
      <c r="CH316" s="104"/>
      <c r="CI316" s="104"/>
      <c r="CJ316" s="104"/>
      <c r="CK316" s="104"/>
    </row>
    <row r="317" spans="1:89" s="140" customFormat="1">
      <c r="A317" s="161"/>
      <c r="B317" s="129">
        <v>308</v>
      </c>
      <c r="C317" s="136" t="s">
        <v>369</v>
      </c>
      <c r="D317" s="137"/>
      <c r="E317" s="209"/>
      <c r="F317" s="206"/>
      <c r="G317" s="206"/>
      <c r="H317" s="206"/>
      <c r="I317" s="208"/>
      <c r="J317" s="147">
        <f t="shared" ref="J317:J342" si="84">F317*G317</f>
        <v>0</v>
      </c>
      <c r="K317" s="147">
        <f t="shared" ref="K317:K342" si="85">F317*H317</f>
        <v>0</v>
      </c>
      <c r="L317" s="147">
        <f t="shared" ref="L317:L342" si="86">F317*I317</f>
        <v>0</v>
      </c>
      <c r="M317" s="147">
        <f t="shared" ref="M317:M342" si="87">J317+K317+L317</f>
        <v>0</v>
      </c>
      <c r="O317" s="139"/>
      <c r="P317" s="139"/>
      <c r="Q317" s="139"/>
      <c r="R317" s="139"/>
      <c r="S317" s="139"/>
      <c r="T317" s="139"/>
      <c r="U317" s="139"/>
      <c r="V317" s="139"/>
      <c r="W317" s="139"/>
      <c r="X317" s="139"/>
      <c r="Y317" s="139"/>
      <c r="Z317" s="139"/>
      <c r="AA317" s="139"/>
      <c r="AB317" s="139"/>
      <c r="AC317" s="139"/>
      <c r="AD317" s="139"/>
      <c r="AE317" s="139"/>
      <c r="AF317" s="139"/>
      <c r="AG317" s="139"/>
      <c r="AH317" s="139"/>
      <c r="AI317" s="139"/>
      <c r="AJ317" s="139"/>
      <c r="AK317" s="139"/>
      <c r="AL317" s="139"/>
      <c r="AM317" s="139"/>
      <c r="AN317" s="139"/>
      <c r="AO317" s="139"/>
      <c r="AP317" s="139"/>
      <c r="AQ317" s="139"/>
      <c r="AR317" s="139"/>
      <c r="AS317" s="139"/>
      <c r="AT317" s="139"/>
      <c r="AU317" s="139"/>
      <c r="AV317" s="139"/>
      <c r="AW317" s="139"/>
      <c r="AX317" s="139"/>
      <c r="AY317" s="139"/>
      <c r="AZ317" s="139"/>
      <c r="BA317" s="139"/>
      <c r="BB317" s="139"/>
      <c r="BC317" s="139"/>
      <c r="BD317" s="139"/>
      <c r="BE317" s="139"/>
      <c r="BF317" s="139"/>
      <c r="BG317" s="139"/>
      <c r="BH317" s="139"/>
      <c r="BI317" s="139"/>
      <c r="BJ317" s="139"/>
      <c r="BK317" s="139"/>
      <c r="BL317" s="139"/>
      <c r="BM317" s="139"/>
      <c r="BN317" s="139"/>
      <c r="BO317" s="139"/>
      <c r="BP317" s="139"/>
      <c r="BQ317" s="139"/>
      <c r="BR317" s="139"/>
      <c r="BS317" s="139"/>
      <c r="BT317" s="139"/>
      <c r="BU317" s="139"/>
      <c r="BV317" s="139"/>
      <c r="BW317" s="139"/>
      <c r="BX317" s="139"/>
      <c r="BY317" s="139"/>
      <c r="BZ317" s="139"/>
      <c r="CA317" s="139"/>
      <c r="CB317" s="139"/>
      <c r="CC317" s="139"/>
      <c r="CD317" s="139"/>
      <c r="CE317" s="139"/>
      <c r="CF317" s="139"/>
      <c r="CG317" s="139"/>
      <c r="CH317" s="139"/>
      <c r="CI317" s="139"/>
      <c r="CJ317" s="139"/>
      <c r="CK317" s="139"/>
    </row>
    <row r="318" spans="1:89">
      <c r="A318" s="160"/>
      <c r="B318" s="129">
        <v>309</v>
      </c>
      <c r="C318" s="101" t="s">
        <v>357</v>
      </c>
      <c r="D318" s="123" t="s">
        <v>11</v>
      </c>
      <c r="E318" s="204">
        <v>3</v>
      </c>
      <c r="F318" s="147">
        <v>1</v>
      </c>
      <c r="G318" s="147">
        <v>8</v>
      </c>
      <c r="H318" s="147"/>
      <c r="I318" s="147">
        <f t="shared" si="79"/>
        <v>0.8</v>
      </c>
      <c r="J318" s="147">
        <f t="shared" si="84"/>
        <v>8</v>
      </c>
      <c r="K318" s="147">
        <f t="shared" si="85"/>
        <v>0</v>
      </c>
      <c r="L318" s="147">
        <f t="shared" si="86"/>
        <v>0.8</v>
      </c>
      <c r="M318" s="147">
        <f t="shared" si="87"/>
        <v>8.8000000000000007</v>
      </c>
      <c r="CD318" s="104"/>
      <c r="CE318" s="104"/>
      <c r="CF318" s="104"/>
      <c r="CG318" s="104"/>
      <c r="CH318" s="104"/>
      <c r="CI318" s="104"/>
      <c r="CJ318" s="104"/>
      <c r="CK318" s="104"/>
    </row>
    <row r="319" spans="1:89">
      <c r="B319" s="129">
        <v>310</v>
      </c>
      <c r="C319" s="125" t="s">
        <v>382</v>
      </c>
      <c r="D319" s="123" t="s">
        <v>6</v>
      </c>
      <c r="E319" s="204">
        <v>64.8</v>
      </c>
      <c r="F319" s="211">
        <v>1</v>
      </c>
      <c r="G319" s="211">
        <v>11.2</v>
      </c>
      <c r="H319" s="211">
        <v>51</v>
      </c>
      <c r="I319" s="147">
        <f t="shared" si="79"/>
        <v>2.65</v>
      </c>
      <c r="J319" s="147">
        <f t="shared" si="84"/>
        <v>11.2</v>
      </c>
      <c r="K319" s="147">
        <f t="shared" si="85"/>
        <v>51</v>
      </c>
      <c r="L319" s="147">
        <f t="shared" si="86"/>
        <v>2.65</v>
      </c>
      <c r="M319" s="147">
        <f t="shared" si="87"/>
        <v>64.850000000000009</v>
      </c>
      <c r="CD319" s="104"/>
      <c r="CE319" s="104"/>
      <c r="CF319" s="104"/>
      <c r="CG319" s="104"/>
      <c r="CH319" s="104"/>
      <c r="CI319" s="104"/>
      <c r="CJ319" s="104"/>
      <c r="CK319" s="104"/>
    </row>
    <row r="320" spans="1:89">
      <c r="B320" s="129">
        <v>311</v>
      </c>
      <c r="C320" s="101" t="s">
        <v>375</v>
      </c>
      <c r="D320" s="123" t="s">
        <v>273</v>
      </c>
      <c r="E320" s="129"/>
      <c r="F320" s="147">
        <v>1.1499999999999999</v>
      </c>
      <c r="G320" s="147">
        <v>1.35</v>
      </c>
      <c r="H320" s="147"/>
      <c r="I320" s="147">
        <f t="shared" si="79"/>
        <v>0.13500000000000001</v>
      </c>
      <c r="J320" s="147">
        <f t="shared" si="84"/>
        <v>1.5525</v>
      </c>
      <c r="K320" s="147">
        <f t="shared" si="85"/>
        <v>0</v>
      </c>
      <c r="L320" s="147">
        <f t="shared" si="86"/>
        <v>0.15525</v>
      </c>
      <c r="M320" s="147">
        <f t="shared" si="87"/>
        <v>1.7077499999999999</v>
      </c>
      <c r="CD320" s="104"/>
      <c r="CE320" s="104"/>
      <c r="CF320" s="104"/>
      <c r="CG320" s="104"/>
      <c r="CH320" s="104"/>
      <c r="CI320" s="104"/>
      <c r="CJ320" s="104"/>
      <c r="CK320" s="104"/>
    </row>
    <row r="321" spans="1:89">
      <c r="B321" s="129">
        <v>312</v>
      </c>
      <c r="C321" s="106" t="s">
        <v>259</v>
      </c>
      <c r="D321" s="123" t="s">
        <v>275</v>
      </c>
      <c r="E321" s="129"/>
      <c r="F321" s="147">
        <v>1</v>
      </c>
      <c r="G321" s="147">
        <v>2.5</v>
      </c>
      <c r="H321" s="147"/>
      <c r="I321" s="147">
        <f t="shared" si="79"/>
        <v>0.25</v>
      </c>
      <c r="J321" s="147">
        <f t="shared" si="84"/>
        <v>2.5</v>
      </c>
      <c r="K321" s="147">
        <f t="shared" si="85"/>
        <v>0</v>
      </c>
      <c r="L321" s="147">
        <f t="shared" si="86"/>
        <v>0.25</v>
      </c>
      <c r="M321" s="147">
        <f t="shared" si="87"/>
        <v>2.75</v>
      </c>
      <c r="CD321" s="104"/>
      <c r="CE321" s="104"/>
      <c r="CF321" s="104"/>
      <c r="CG321" s="104"/>
      <c r="CH321" s="104"/>
      <c r="CI321" s="104"/>
      <c r="CJ321" s="104"/>
      <c r="CK321" s="104"/>
    </row>
    <row r="322" spans="1:89">
      <c r="B322" s="129">
        <v>313</v>
      </c>
      <c r="C322" s="106" t="s">
        <v>374</v>
      </c>
      <c r="D322" s="123" t="s">
        <v>83</v>
      </c>
      <c r="E322" s="129"/>
      <c r="F322" s="147">
        <v>4</v>
      </c>
      <c r="G322" s="147">
        <v>7.0000000000000007E-2</v>
      </c>
      <c r="H322" s="147"/>
      <c r="I322" s="147">
        <f t="shared" si="79"/>
        <v>7.000000000000001E-3</v>
      </c>
      <c r="J322" s="147">
        <f t="shared" si="84"/>
        <v>0.28000000000000003</v>
      </c>
      <c r="K322" s="147">
        <f t="shared" si="85"/>
        <v>0</v>
      </c>
      <c r="L322" s="147">
        <f t="shared" si="86"/>
        <v>2.8000000000000004E-2</v>
      </c>
      <c r="M322" s="147">
        <f t="shared" si="87"/>
        <v>0.30800000000000005</v>
      </c>
      <c r="CD322" s="104"/>
      <c r="CE322" s="104"/>
      <c r="CF322" s="104"/>
      <c r="CG322" s="104"/>
      <c r="CH322" s="104"/>
      <c r="CI322" s="104"/>
      <c r="CJ322" s="104"/>
      <c r="CK322" s="104"/>
    </row>
    <row r="323" spans="1:89">
      <c r="B323" s="129">
        <v>314</v>
      </c>
      <c r="C323" s="109" t="s">
        <v>426</v>
      </c>
      <c r="D323" s="123" t="s">
        <v>83</v>
      </c>
      <c r="E323" s="129"/>
      <c r="F323" s="147">
        <v>1</v>
      </c>
      <c r="G323" s="147"/>
      <c r="H323" s="147">
        <v>17.5</v>
      </c>
      <c r="I323" s="147">
        <f>(G323*0.1)+(H323*0.03)</f>
        <v>0.52500000000000002</v>
      </c>
      <c r="J323" s="147">
        <f t="shared" si="84"/>
        <v>0</v>
      </c>
      <c r="K323" s="147">
        <f t="shared" si="85"/>
        <v>17.5</v>
      </c>
      <c r="L323" s="147">
        <f t="shared" si="86"/>
        <v>0.52500000000000002</v>
      </c>
      <c r="M323" s="147">
        <f t="shared" si="87"/>
        <v>18.024999999999999</v>
      </c>
      <c r="CD323" s="104"/>
      <c r="CE323" s="104"/>
      <c r="CF323" s="104"/>
      <c r="CG323" s="104"/>
      <c r="CH323" s="104"/>
      <c r="CI323" s="104"/>
      <c r="CJ323" s="104"/>
      <c r="CK323" s="104"/>
    </row>
    <row r="324" spans="1:89">
      <c r="B324" s="129">
        <v>315</v>
      </c>
      <c r="C324" s="106" t="s">
        <v>427</v>
      </c>
      <c r="D324" s="123" t="s">
        <v>83</v>
      </c>
      <c r="E324" s="129"/>
      <c r="F324" s="147">
        <v>1</v>
      </c>
      <c r="G324" s="147"/>
      <c r="H324" s="147">
        <v>175</v>
      </c>
      <c r="I324" s="147">
        <f>(G324*0.1)+(H324*0.03)</f>
        <v>5.25</v>
      </c>
      <c r="J324" s="147">
        <f t="shared" si="84"/>
        <v>0</v>
      </c>
      <c r="K324" s="147">
        <f t="shared" si="85"/>
        <v>175</v>
      </c>
      <c r="L324" s="147">
        <f t="shared" si="86"/>
        <v>5.25</v>
      </c>
      <c r="M324" s="147">
        <f t="shared" si="87"/>
        <v>180.25</v>
      </c>
      <c r="CD324" s="104"/>
      <c r="CE324" s="104"/>
      <c r="CF324" s="104"/>
      <c r="CG324" s="104"/>
      <c r="CH324" s="104"/>
      <c r="CI324" s="104"/>
      <c r="CJ324" s="104"/>
      <c r="CK324" s="104"/>
    </row>
    <row r="325" spans="1:89">
      <c r="B325" s="129">
        <v>316</v>
      </c>
      <c r="C325" s="106" t="s">
        <v>259</v>
      </c>
      <c r="D325" s="123" t="s">
        <v>275</v>
      </c>
      <c r="E325" s="129"/>
      <c r="F325" s="147">
        <v>1</v>
      </c>
      <c r="G325" s="147"/>
      <c r="H325" s="147">
        <v>2.5</v>
      </c>
      <c r="I325" s="147">
        <f>(G325*0.1)+(H325*0.03)</f>
        <v>7.4999999999999997E-2</v>
      </c>
      <c r="J325" s="147">
        <f t="shared" si="84"/>
        <v>0</v>
      </c>
      <c r="K325" s="147">
        <f t="shared" si="85"/>
        <v>2.5</v>
      </c>
      <c r="L325" s="147">
        <f t="shared" si="86"/>
        <v>7.4999999999999997E-2</v>
      </c>
      <c r="M325" s="147">
        <f t="shared" si="87"/>
        <v>2.5750000000000002</v>
      </c>
      <c r="CD325" s="104"/>
      <c r="CE325" s="104"/>
      <c r="CF325" s="104"/>
      <c r="CG325" s="104"/>
      <c r="CH325" s="104"/>
      <c r="CI325" s="104"/>
      <c r="CJ325" s="104"/>
      <c r="CK325" s="104"/>
    </row>
    <row r="326" spans="1:89">
      <c r="B326" s="129">
        <v>317</v>
      </c>
      <c r="C326" s="106" t="s">
        <v>374</v>
      </c>
      <c r="D326" s="123" t="s">
        <v>83</v>
      </c>
      <c r="E326" s="129"/>
      <c r="F326" s="147">
        <v>8</v>
      </c>
      <c r="G326" s="147"/>
      <c r="H326" s="147">
        <v>7.0000000000000007E-2</v>
      </c>
      <c r="I326" s="147">
        <f>(G326*0.1)+(H326*0.03)</f>
        <v>2.1000000000000003E-3</v>
      </c>
      <c r="J326" s="147">
        <f t="shared" si="84"/>
        <v>0</v>
      </c>
      <c r="K326" s="147">
        <f t="shared" si="85"/>
        <v>0.56000000000000005</v>
      </c>
      <c r="L326" s="147">
        <f t="shared" si="86"/>
        <v>1.6800000000000002E-2</v>
      </c>
      <c r="M326" s="147">
        <f t="shared" si="87"/>
        <v>0.57680000000000009</v>
      </c>
      <c r="CD326" s="104"/>
      <c r="CE326" s="104"/>
      <c r="CF326" s="104"/>
      <c r="CG326" s="104"/>
      <c r="CH326" s="104"/>
      <c r="CI326" s="104"/>
      <c r="CJ326" s="104"/>
      <c r="CK326" s="104"/>
    </row>
    <row r="327" spans="1:89" ht="24">
      <c r="B327" s="129">
        <v>318</v>
      </c>
      <c r="C327" s="125" t="s">
        <v>358</v>
      </c>
      <c r="D327" s="123" t="s">
        <v>6</v>
      </c>
      <c r="E327" s="129"/>
      <c r="F327" s="147">
        <v>3.58</v>
      </c>
      <c r="G327" s="147">
        <v>1.25</v>
      </c>
      <c r="H327" s="147"/>
      <c r="I327" s="147">
        <f t="shared" si="79"/>
        <v>0.125</v>
      </c>
      <c r="J327" s="147">
        <f t="shared" si="84"/>
        <v>4.4749999999999996</v>
      </c>
      <c r="K327" s="147">
        <f t="shared" si="85"/>
        <v>0</v>
      </c>
      <c r="L327" s="147">
        <f t="shared" si="86"/>
        <v>0.44750000000000001</v>
      </c>
      <c r="M327" s="147">
        <f t="shared" si="87"/>
        <v>4.9224999999999994</v>
      </c>
      <c r="CD327" s="104"/>
      <c r="CE327" s="104"/>
      <c r="CF327" s="104"/>
      <c r="CG327" s="104"/>
      <c r="CH327" s="104"/>
      <c r="CI327" s="104"/>
      <c r="CJ327" s="104"/>
      <c r="CK327" s="104"/>
    </row>
    <row r="328" spans="1:89">
      <c r="B328" s="129">
        <v>319</v>
      </c>
      <c r="C328" s="101" t="s">
        <v>359</v>
      </c>
      <c r="D328" s="123" t="s">
        <v>6</v>
      </c>
      <c r="E328" s="129"/>
      <c r="F328" s="147">
        <v>10.1</v>
      </c>
      <c r="G328" s="147">
        <v>1.25</v>
      </c>
      <c r="H328" s="147"/>
      <c r="I328" s="147">
        <f t="shared" si="79"/>
        <v>0.125</v>
      </c>
      <c r="J328" s="147">
        <f t="shared" si="84"/>
        <v>12.625</v>
      </c>
      <c r="K328" s="147">
        <f t="shared" si="85"/>
        <v>0</v>
      </c>
      <c r="L328" s="147">
        <f t="shared" si="86"/>
        <v>1.2625</v>
      </c>
      <c r="M328" s="147">
        <f t="shared" si="87"/>
        <v>13.887499999999999</v>
      </c>
      <c r="CD328" s="104"/>
      <c r="CE328" s="104"/>
      <c r="CF328" s="104"/>
      <c r="CG328" s="104"/>
      <c r="CH328" s="104"/>
      <c r="CI328" s="104"/>
      <c r="CJ328" s="104"/>
      <c r="CK328" s="104"/>
    </row>
    <row r="329" spans="1:89">
      <c r="B329" s="129">
        <v>320</v>
      </c>
      <c r="C329" s="101" t="s">
        <v>360</v>
      </c>
      <c r="D329" s="123" t="s">
        <v>6</v>
      </c>
      <c r="E329" s="129"/>
      <c r="F329" s="147">
        <v>14.1</v>
      </c>
      <c r="G329" s="147">
        <v>0.75</v>
      </c>
      <c r="H329" s="147"/>
      <c r="I329" s="147">
        <f t="shared" si="79"/>
        <v>7.5000000000000011E-2</v>
      </c>
      <c r="J329" s="147">
        <f t="shared" si="84"/>
        <v>10.574999999999999</v>
      </c>
      <c r="K329" s="147">
        <f t="shared" si="85"/>
        <v>0</v>
      </c>
      <c r="L329" s="147">
        <f t="shared" si="86"/>
        <v>1.0575000000000001</v>
      </c>
      <c r="M329" s="147">
        <f t="shared" si="87"/>
        <v>11.6325</v>
      </c>
      <c r="CD329" s="104"/>
      <c r="CE329" s="104"/>
      <c r="CF329" s="104"/>
      <c r="CG329" s="104"/>
      <c r="CH329" s="104"/>
      <c r="CI329" s="104"/>
      <c r="CJ329" s="104"/>
      <c r="CK329" s="104"/>
    </row>
    <row r="330" spans="1:89" s="112" customFormat="1">
      <c r="B330" s="129">
        <v>321</v>
      </c>
      <c r="C330" s="106" t="s">
        <v>376</v>
      </c>
      <c r="D330" s="124" t="s">
        <v>6</v>
      </c>
      <c r="E330" s="117"/>
      <c r="F330" s="205">
        <f>SUM(F327:F329)</f>
        <v>27.78</v>
      </c>
      <c r="G330" s="205"/>
      <c r="H330" s="205">
        <v>1.3</v>
      </c>
      <c r="I330" s="147">
        <f t="shared" si="79"/>
        <v>3.9E-2</v>
      </c>
      <c r="J330" s="147">
        <f t="shared" si="84"/>
        <v>0</v>
      </c>
      <c r="K330" s="147">
        <f t="shared" si="85"/>
        <v>36.114000000000004</v>
      </c>
      <c r="L330" s="147">
        <f t="shared" si="86"/>
        <v>1.08342</v>
      </c>
      <c r="M330" s="147">
        <f t="shared" si="87"/>
        <v>37.197420000000001</v>
      </c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  <c r="AF330" s="113"/>
      <c r="AG330" s="113"/>
      <c r="AH330" s="113"/>
      <c r="AI330" s="113"/>
      <c r="AJ330" s="113"/>
      <c r="AK330" s="113"/>
      <c r="AL330" s="113"/>
      <c r="AM330" s="113"/>
      <c r="AN330" s="113"/>
      <c r="AO330" s="113"/>
      <c r="AP330" s="113"/>
      <c r="AQ330" s="113"/>
      <c r="AR330" s="113"/>
      <c r="AS330" s="113"/>
      <c r="AT330" s="113"/>
      <c r="AU330" s="113"/>
      <c r="AV330" s="113"/>
      <c r="AW330" s="113"/>
      <c r="AX330" s="113"/>
      <c r="AY330" s="113"/>
      <c r="AZ330" s="113"/>
      <c r="BA330" s="113"/>
      <c r="BB330" s="113"/>
      <c r="BC330" s="113"/>
      <c r="BD330" s="113"/>
      <c r="BE330" s="113"/>
      <c r="BF330" s="113"/>
      <c r="BG330" s="113"/>
      <c r="BH330" s="113"/>
      <c r="BI330" s="113"/>
      <c r="BJ330" s="113"/>
      <c r="BK330" s="113"/>
      <c r="BL330" s="113"/>
      <c r="BM330" s="113"/>
      <c r="BN330" s="113"/>
      <c r="BO330" s="113"/>
      <c r="BP330" s="113"/>
      <c r="BQ330" s="113"/>
      <c r="BR330" s="113"/>
      <c r="BS330" s="113"/>
      <c r="BT330" s="113"/>
      <c r="BU330" s="113"/>
      <c r="BV330" s="113"/>
      <c r="BW330" s="113"/>
      <c r="BX330" s="113"/>
      <c r="BY330" s="113"/>
      <c r="BZ330" s="113"/>
      <c r="CA330" s="113"/>
      <c r="CB330" s="113"/>
      <c r="CC330" s="113"/>
      <c r="CD330" s="113"/>
      <c r="CE330" s="113"/>
      <c r="CF330" s="113"/>
      <c r="CG330" s="113"/>
      <c r="CH330" s="113"/>
      <c r="CI330" s="113"/>
      <c r="CJ330" s="113"/>
      <c r="CK330" s="113"/>
    </row>
    <row r="331" spans="1:89" ht="38.25" customHeight="1">
      <c r="A331" s="160"/>
      <c r="B331" s="129">
        <v>322</v>
      </c>
      <c r="C331" s="143" t="s">
        <v>377</v>
      </c>
      <c r="D331" s="123" t="s">
        <v>6</v>
      </c>
      <c r="E331" s="204">
        <v>17.5</v>
      </c>
      <c r="F331" s="147">
        <f>121+(4.4*2+2.4)*2.6</f>
        <v>150.12</v>
      </c>
      <c r="G331" s="147">
        <v>3.8</v>
      </c>
      <c r="H331" s="147"/>
      <c r="I331" s="147">
        <f t="shared" si="79"/>
        <v>0.38</v>
      </c>
      <c r="J331" s="147">
        <f t="shared" si="84"/>
        <v>570.45600000000002</v>
      </c>
      <c r="K331" s="147">
        <f t="shared" si="85"/>
        <v>0</v>
      </c>
      <c r="L331" s="147">
        <f t="shared" si="86"/>
        <v>57.0456</v>
      </c>
      <c r="M331" s="147">
        <f t="shared" si="87"/>
        <v>627.50160000000005</v>
      </c>
      <c r="CD331" s="104"/>
      <c r="CE331" s="104"/>
      <c r="CF331" s="104"/>
      <c r="CG331" s="104"/>
      <c r="CH331" s="104"/>
      <c r="CI331" s="104"/>
      <c r="CJ331" s="104"/>
      <c r="CK331" s="104"/>
    </row>
    <row r="332" spans="1:89" s="112" customFormat="1">
      <c r="A332" s="162"/>
      <c r="B332" s="129">
        <v>323</v>
      </c>
      <c r="C332" s="106" t="s">
        <v>415</v>
      </c>
      <c r="D332" s="124" t="s">
        <v>11</v>
      </c>
      <c r="E332" s="210">
        <v>12</v>
      </c>
      <c r="F332" s="205">
        <v>24</v>
      </c>
      <c r="G332" s="205"/>
      <c r="H332" s="205">
        <v>1.34</v>
      </c>
      <c r="I332" s="205">
        <f t="shared" si="79"/>
        <v>4.02E-2</v>
      </c>
      <c r="J332" s="147">
        <f t="shared" si="84"/>
        <v>0</v>
      </c>
      <c r="K332" s="147">
        <f t="shared" si="85"/>
        <v>32.160000000000004</v>
      </c>
      <c r="L332" s="147">
        <f t="shared" si="86"/>
        <v>0.96479999999999999</v>
      </c>
      <c r="M332" s="147">
        <f t="shared" si="87"/>
        <v>33.1248</v>
      </c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  <c r="AF332" s="113"/>
      <c r="AG332" s="113"/>
      <c r="AH332" s="113"/>
      <c r="AI332" s="113"/>
      <c r="AJ332" s="113"/>
      <c r="AK332" s="113"/>
      <c r="AL332" s="113"/>
      <c r="AM332" s="113"/>
      <c r="AN332" s="113"/>
      <c r="AO332" s="113"/>
      <c r="AP332" s="113"/>
      <c r="AQ332" s="113"/>
      <c r="AR332" s="113"/>
      <c r="AS332" s="113"/>
      <c r="AT332" s="113"/>
      <c r="AU332" s="113"/>
      <c r="AV332" s="113"/>
      <c r="AW332" s="113"/>
      <c r="AX332" s="113"/>
      <c r="AY332" s="113"/>
      <c r="AZ332" s="113"/>
      <c r="BA332" s="113"/>
      <c r="BB332" s="113"/>
      <c r="BC332" s="113"/>
      <c r="BD332" s="113"/>
      <c r="BE332" s="113"/>
      <c r="BF332" s="113"/>
      <c r="BG332" s="113"/>
      <c r="BH332" s="113"/>
      <c r="BI332" s="113"/>
      <c r="BJ332" s="113"/>
      <c r="BK332" s="113"/>
      <c r="BL332" s="113"/>
      <c r="BM332" s="113"/>
      <c r="BN332" s="113"/>
      <c r="BO332" s="113"/>
      <c r="BP332" s="113"/>
      <c r="BQ332" s="113"/>
      <c r="BR332" s="113"/>
      <c r="BS332" s="113"/>
      <c r="BT332" s="113"/>
      <c r="BU332" s="113"/>
      <c r="BV332" s="113"/>
      <c r="BW332" s="113"/>
      <c r="BX332" s="113"/>
      <c r="BY332" s="113"/>
      <c r="BZ332" s="113"/>
      <c r="CA332" s="113"/>
      <c r="CB332" s="113"/>
      <c r="CC332" s="113"/>
      <c r="CD332" s="113"/>
      <c r="CE332" s="113"/>
      <c r="CF332" s="113"/>
      <c r="CG332" s="113"/>
      <c r="CH332" s="113"/>
      <c r="CI332" s="113"/>
      <c r="CJ332" s="113"/>
      <c r="CK332" s="113"/>
    </row>
    <row r="333" spans="1:89" s="112" customFormat="1">
      <c r="A333" s="162"/>
      <c r="B333" s="129">
        <v>324</v>
      </c>
      <c r="C333" s="106" t="s">
        <v>416</v>
      </c>
      <c r="D333" s="124" t="s">
        <v>11</v>
      </c>
      <c r="E333" s="210">
        <v>4</v>
      </c>
      <c r="F333" s="205">
        <v>7</v>
      </c>
      <c r="G333" s="205"/>
      <c r="H333" s="205">
        <v>1.56</v>
      </c>
      <c r="I333" s="205">
        <f t="shared" si="79"/>
        <v>4.6800000000000001E-2</v>
      </c>
      <c r="J333" s="147">
        <f t="shared" si="84"/>
        <v>0</v>
      </c>
      <c r="K333" s="147">
        <f t="shared" si="85"/>
        <v>10.92</v>
      </c>
      <c r="L333" s="147">
        <f t="shared" si="86"/>
        <v>0.3276</v>
      </c>
      <c r="M333" s="147">
        <f t="shared" si="87"/>
        <v>11.2476</v>
      </c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  <c r="AF333" s="113"/>
      <c r="AG333" s="113"/>
      <c r="AH333" s="113"/>
      <c r="AI333" s="113"/>
      <c r="AJ333" s="113"/>
      <c r="AK333" s="113"/>
      <c r="AL333" s="113"/>
      <c r="AM333" s="113"/>
      <c r="AN333" s="113"/>
      <c r="AO333" s="113"/>
      <c r="AP333" s="113"/>
      <c r="AQ333" s="113"/>
      <c r="AR333" s="113"/>
      <c r="AS333" s="113"/>
      <c r="AT333" s="113"/>
      <c r="AU333" s="113"/>
      <c r="AV333" s="113"/>
      <c r="AW333" s="113"/>
      <c r="AX333" s="113"/>
      <c r="AY333" s="113"/>
      <c r="AZ333" s="113"/>
      <c r="BA333" s="113"/>
      <c r="BB333" s="113"/>
      <c r="BC333" s="113"/>
      <c r="BD333" s="113"/>
      <c r="BE333" s="113"/>
      <c r="BF333" s="113"/>
      <c r="BG333" s="113"/>
      <c r="BH333" s="113"/>
      <c r="BI333" s="113"/>
      <c r="BJ333" s="113"/>
      <c r="BK333" s="113"/>
      <c r="BL333" s="113"/>
      <c r="BM333" s="113"/>
      <c r="BN333" s="113"/>
      <c r="BO333" s="113"/>
      <c r="BP333" s="113"/>
      <c r="BQ333" s="113"/>
      <c r="BR333" s="113"/>
      <c r="BS333" s="113"/>
      <c r="BT333" s="113"/>
      <c r="BU333" s="113"/>
      <c r="BV333" s="113"/>
      <c r="BW333" s="113"/>
      <c r="BX333" s="113"/>
      <c r="BY333" s="113"/>
      <c r="BZ333" s="113"/>
      <c r="CA333" s="113"/>
      <c r="CB333" s="113"/>
      <c r="CC333" s="113"/>
      <c r="CD333" s="113"/>
      <c r="CE333" s="113"/>
      <c r="CF333" s="113"/>
      <c r="CG333" s="113"/>
      <c r="CH333" s="113"/>
      <c r="CI333" s="113"/>
      <c r="CJ333" s="113"/>
      <c r="CK333" s="113"/>
    </row>
    <row r="334" spans="1:89" s="112" customFormat="1">
      <c r="A334" s="162"/>
      <c r="B334" s="129">
        <v>325</v>
      </c>
      <c r="C334" s="106" t="s">
        <v>414</v>
      </c>
      <c r="D334" s="124" t="s">
        <v>11</v>
      </c>
      <c r="E334" s="210"/>
      <c r="F334" s="205">
        <v>95</v>
      </c>
      <c r="G334" s="205"/>
      <c r="H334" s="205">
        <v>0.81399999999999995</v>
      </c>
      <c r="I334" s="205">
        <f t="shared" si="79"/>
        <v>2.4419999999999997E-2</v>
      </c>
      <c r="J334" s="147">
        <f t="shared" si="84"/>
        <v>0</v>
      </c>
      <c r="K334" s="147">
        <f t="shared" si="85"/>
        <v>77.33</v>
      </c>
      <c r="L334" s="147">
        <f t="shared" si="86"/>
        <v>2.3198999999999996</v>
      </c>
      <c r="M334" s="147">
        <f t="shared" si="87"/>
        <v>79.649900000000002</v>
      </c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13"/>
      <c r="AF334" s="113"/>
      <c r="AG334" s="113"/>
      <c r="AH334" s="113"/>
      <c r="AI334" s="113"/>
      <c r="AJ334" s="113"/>
      <c r="AK334" s="113"/>
      <c r="AL334" s="113"/>
      <c r="AM334" s="113"/>
      <c r="AN334" s="113"/>
      <c r="AO334" s="113"/>
      <c r="AP334" s="113"/>
      <c r="AQ334" s="113"/>
      <c r="AR334" s="113"/>
      <c r="AS334" s="113"/>
      <c r="AT334" s="113"/>
      <c r="AU334" s="113"/>
      <c r="AV334" s="113"/>
      <c r="AW334" s="113"/>
      <c r="AX334" s="113"/>
      <c r="AY334" s="113"/>
      <c r="AZ334" s="113"/>
      <c r="BA334" s="113"/>
      <c r="BB334" s="113"/>
      <c r="BC334" s="113"/>
      <c r="BD334" s="113"/>
      <c r="BE334" s="113"/>
      <c r="BF334" s="113"/>
      <c r="BG334" s="113"/>
      <c r="BH334" s="113"/>
      <c r="BI334" s="113"/>
      <c r="BJ334" s="113"/>
      <c r="BK334" s="113"/>
      <c r="BL334" s="113"/>
      <c r="BM334" s="113"/>
      <c r="BN334" s="113"/>
      <c r="BO334" s="113"/>
      <c r="BP334" s="113"/>
      <c r="BQ334" s="113"/>
      <c r="BR334" s="113"/>
      <c r="BS334" s="113"/>
      <c r="BT334" s="113"/>
      <c r="BU334" s="113"/>
      <c r="BV334" s="113"/>
      <c r="BW334" s="113"/>
      <c r="BX334" s="113"/>
      <c r="BY334" s="113"/>
      <c r="BZ334" s="113"/>
      <c r="CA334" s="113"/>
      <c r="CB334" s="113"/>
      <c r="CC334" s="113"/>
      <c r="CD334" s="113"/>
      <c r="CE334" s="113"/>
      <c r="CF334" s="113"/>
      <c r="CG334" s="113"/>
      <c r="CH334" s="113"/>
      <c r="CI334" s="113"/>
      <c r="CJ334" s="113"/>
      <c r="CK334" s="113"/>
    </row>
    <row r="335" spans="1:89" s="112" customFormat="1">
      <c r="A335" s="162"/>
      <c r="B335" s="129">
        <v>326</v>
      </c>
      <c r="C335" s="106" t="s">
        <v>413</v>
      </c>
      <c r="D335" s="124" t="s">
        <v>11</v>
      </c>
      <c r="E335" s="210"/>
      <c r="F335" s="205">
        <v>25</v>
      </c>
      <c r="G335" s="205"/>
      <c r="H335" s="205">
        <v>0.72</v>
      </c>
      <c r="I335" s="205">
        <f t="shared" si="79"/>
        <v>2.1599999999999998E-2</v>
      </c>
      <c r="J335" s="147">
        <f t="shared" si="84"/>
        <v>0</v>
      </c>
      <c r="K335" s="147">
        <f t="shared" si="85"/>
        <v>18</v>
      </c>
      <c r="L335" s="147">
        <f t="shared" si="86"/>
        <v>0.53999999999999992</v>
      </c>
      <c r="M335" s="147">
        <f t="shared" si="87"/>
        <v>18.54</v>
      </c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13"/>
      <c r="AK335" s="113"/>
      <c r="AL335" s="113"/>
      <c r="AM335" s="113"/>
      <c r="AN335" s="113"/>
      <c r="AO335" s="113"/>
      <c r="AP335" s="113"/>
      <c r="AQ335" s="113"/>
      <c r="AR335" s="113"/>
      <c r="AS335" s="113"/>
      <c r="AT335" s="113"/>
      <c r="AU335" s="113"/>
      <c r="AV335" s="113"/>
      <c r="AW335" s="113"/>
      <c r="AX335" s="113"/>
      <c r="AY335" s="113"/>
      <c r="AZ335" s="113"/>
      <c r="BA335" s="113"/>
      <c r="BB335" s="113"/>
      <c r="BC335" s="113"/>
      <c r="BD335" s="113"/>
      <c r="BE335" s="113"/>
      <c r="BF335" s="113"/>
      <c r="BG335" s="113"/>
      <c r="BH335" s="113"/>
      <c r="BI335" s="113"/>
      <c r="BJ335" s="113"/>
      <c r="BK335" s="113"/>
      <c r="BL335" s="113"/>
      <c r="BM335" s="113"/>
      <c r="BN335" s="113"/>
      <c r="BO335" s="113"/>
      <c r="BP335" s="113"/>
      <c r="BQ335" s="113"/>
      <c r="BR335" s="113"/>
      <c r="BS335" s="113"/>
      <c r="BT335" s="113"/>
      <c r="BU335" s="113"/>
      <c r="BV335" s="113"/>
      <c r="BW335" s="113"/>
      <c r="BX335" s="113"/>
      <c r="BY335" s="113"/>
      <c r="BZ335" s="113"/>
      <c r="CA335" s="113"/>
      <c r="CB335" s="113"/>
      <c r="CC335" s="113"/>
      <c r="CD335" s="113"/>
      <c r="CE335" s="113"/>
      <c r="CF335" s="113"/>
      <c r="CG335" s="113"/>
      <c r="CH335" s="113"/>
      <c r="CI335" s="113"/>
      <c r="CJ335" s="113"/>
      <c r="CK335" s="113"/>
    </row>
    <row r="336" spans="1:89" s="112" customFormat="1">
      <c r="A336" s="162"/>
      <c r="B336" s="129">
        <v>327</v>
      </c>
      <c r="C336" s="106" t="s">
        <v>135</v>
      </c>
      <c r="D336" s="124" t="s">
        <v>11</v>
      </c>
      <c r="E336" s="210">
        <v>4</v>
      </c>
      <c r="F336" s="205">
        <v>100</v>
      </c>
      <c r="G336" s="205"/>
      <c r="H336" s="205">
        <v>7.0000000000000007E-2</v>
      </c>
      <c r="I336" s="205">
        <f t="shared" si="79"/>
        <v>2.1000000000000003E-3</v>
      </c>
      <c r="J336" s="147">
        <f t="shared" si="84"/>
        <v>0</v>
      </c>
      <c r="K336" s="147">
        <f t="shared" si="85"/>
        <v>7.0000000000000009</v>
      </c>
      <c r="L336" s="147">
        <f t="shared" si="86"/>
        <v>0.21000000000000002</v>
      </c>
      <c r="M336" s="147">
        <f t="shared" si="87"/>
        <v>7.2100000000000009</v>
      </c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13"/>
      <c r="AF336" s="113"/>
      <c r="AG336" s="113"/>
      <c r="AH336" s="113"/>
      <c r="AI336" s="113"/>
      <c r="AJ336" s="113"/>
      <c r="AK336" s="113"/>
      <c r="AL336" s="113"/>
      <c r="AM336" s="113"/>
      <c r="AN336" s="113"/>
      <c r="AO336" s="113"/>
      <c r="AP336" s="113"/>
      <c r="AQ336" s="113"/>
      <c r="AR336" s="113"/>
      <c r="AS336" s="113"/>
      <c r="AT336" s="113"/>
      <c r="AU336" s="113"/>
      <c r="AV336" s="113"/>
      <c r="AW336" s="113"/>
      <c r="AX336" s="113"/>
      <c r="AY336" s="113"/>
      <c r="AZ336" s="113"/>
      <c r="BA336" s="113"/>
      <c r="BB336" s="113"/>
      <c r="BC336" s="113"/>
      <c r="BD336" s="113"/>
      <c r="BE336" s="113"/>
      <c r="BF336" s="113"/>
      <c r="BG336" s="113"/>
      <c r="BH336" s="113"/>
      <c r="BI336" s="113"/>
      <c r="BJ336" s="113"/>
      <c r="BK336" s="113"/>
      <c r="BL336" s="113"/>
      <c r="BM336" s="113"/>
      <c r="BN336" s="113"/>
      <c r="BO336" s="113"/>
      <c r="BP336" s="113"/>
      <c r="BQ336" s="113"/>
      <c r="BR336" s="113"/>
      <c r="BS336" s="113"/>
      <c r="BT336" s="113"/>
      <c r="BU336" s="113"/>
      <c r="BV336" s="113"/>
      <c r="BW336" s="113"/>
      <c r="BX336" s="113"/>
      <c r="BY336" s="113"/>
      <c r="BZ336" s="113"/>
      <c r="CA336" s="113"/>
      <c r="CB336" s="113"/>
      <c r="CC336" s="113"/>
      <c r="CD336" s="113"/>
      <c r="CE336" s="113"/>
      <c r="CF336" s="113"/>
      <c r="CG336" s="113"/>
      <c r="CH336" s="113"/>
      <c r="CI336" s="113"/>
      <c r="CJ336" s="113"/>
      <c r="CK336" s="113"/>
    </row>
    <row r="337" spans="1:89" s="112" customFormat="1">
      <c r="A337" s="162"/>
      <c r="B337" s="129">
        <v>328</v>
      </c>
      <c r="C337" s="106" t="s">
        <v>149</v>
      </c>
      <c r="D337" s="124" t="s">
        <v>11</v>
      </c>
      <c r="E337" s="210">
        <v>18</v>
      </c>
      <c r="F337" s="205">
        <v>100</v>
      </c>
      <c r="G337" s="205"/>
      <c r="H337" s="205">
        <v>0.65</v>
      </c>
      <c r="I337" s="205">
        <f t="shared" si="79"/>
        <v>1.95E-2</v>
      </c>
      <c r="J337" s="147">
        <f t="shared" si="84"/>
        <v>0</v>
      </c>
      <c r="K337" s="147">
        <f t="shared" si="85"/>
        <v>65</v>
      </c>
      <c r="L337" s="147">
        <f t="shared" si="86"/>
        <v>1.95</v>
      </c>
      <c r="M337" s="147">
        <f t="shared" si="87"/>
        <v>66.95</v>
      </c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  <c r="AA337" s="113"/>
      <c r="AB337" s="113"/>
      <c r="AC337" s="113"/>
      <c r="AD337" s="113"/>
      <c r="AE337" s="113"/>
      <c r="AF337" s="113"/>
      <c r="AG337" s="113"/>
      <c r="AH337" s="113"/>
      <c r="AI337" s="113"/>
      <c r="AJ337" s="113"/>
      <c r="AK337" s="113"/>
      <c r="AL337" s="113"/>
      <c r="AM337" s="113"/>
      <c r="AN337" s="113"/>
      <c r="AO337" s="113"/>
      <c r="AP337" s="113"/>
      <c r="AQ337" s="113"/>
      <c r="AR337" s="113"/>
      <c r="AS337" s="113"/>
      <c r="AT337" s="113"/>
      <c r="AU337" s="113"/>
      <c r="AV337" s="113"/>
      <c r="AW337" s="113"/>
      <c r="AX337" s="113"/>
      <c r="AY337" s="113"/>
      <c r="AZ337" s="113"/>
      <c r="BA337" s="113"/>
      <c r="BB337" s="113"/>
      <c r="BC337" s="113"/>
      <c r="BD337" s="113"/>
      <c r="BE337" s="113"/>
      <c r="BF337" s="113"/>
      <c r="BG337" s="113"/>
      <c r="BH337" s="113"/>
      <c r="BI337" s="113"/>
      <c r="BJ337" s="113"/>
      <c r="BK337" s="113"/>
      <c r="BL337" s="113"/>
      <c r="BM337" s="113"/>
      <c r="BN337" s="113"/>
      <c r="BO337" s="113"/>
      <c r="BP337" s="113"/>
      <c r="BQ337" s="113"/>
      <c r="BR337" s="113"/>
      <c r="BS337" s="113"/>
      <c r="BT337" s="113"/>
      <c r="BU337" s="113"/>
      <c r="BV337" s="113"/>
      <c r="BW337" s="113"/>
      <c r="BX337" s="113"/>
      <c r="BY337" s="113"/>
      <c r="BZ337" s="113"/>
      <c r="CA337" s="113"/>
      <c r="CB337" s="113"/>
      <c r="CC337" s="113"/>
      <c r="CD337" s="113"/>
      <c r="CE337" s="113"/>
      <c r="CF337" s="113"/>
      <c r="CG337" s="113"/>
      <c r="CH337" s="113"/>
      <c r="CI337" s="113"/>
      <c r="CJ337" s="113"/>
      <c r="CK337" s="113"/>
    </row>
    <row r="338" spans="1:89" s="112" customFormat="1">
      <c r="A338" s="162"/>
      <c r="B338" s="129">
        <v>329</v>
      </c>
      <c r="C338" s="106" t="s">
        <v>91</v>
      </c>
      <c r="D338" s="124" t="s">
        <v>6</v>
      </c>
      <c r="E338" s="210">
        <v>74</v>
      </c>
      <c r="F338" s="205">
        <f>F331+17.5*4</f>
        <v>220.12</v>
      </c>
      <c r="G338" s="205"/>
      <c r="H338" s="205">
        <v>0.94</v>
      </c>
      <c r="I338" s="205">
        <f t="shared" si="79"/>
        <v>2.8199999999999996E-2</v>
      </c>
      <c r="J338" s="147">
        <f t="shared" si="84"/>
        <v>0</v>
      </c>
      <c r="K338" s="147">
        <f t="shared" si="85"/>
        <v>206.9128</v>
      </c>
      <c r="L338" s="147">
        <f t="shared" si="86"/>
        <v>6.2073839999999993</v>
      </c>
      <c r="M338" s="147">
        <f t="shared" si="87"/>
        <v>213.12018399999999</v>
      </c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13"/>
      <c r="AF338" s="113"/>
      <c r="AG338" s="113"/>
      <c r="AH338" s="113"/>
      <c r="AI338" s="113"/>
      <c r="AJ338" s="113"/>
      <c r="AK338" s="113"/>
      <c r="AL338" s="113"/>
      <c r="AM338" s="113"/>
      <c r="AN338" s="113"/>
      <c r="AO338" s="113"/>
      <c r="AP338" s="113"/>
      <c r="AQ338" s="113"/>
      <c r="AR338" s="113"/>
      <c r="AS338" s="113"/>
      <c r="AT338" s="113"/>
      <c r="AU338" s="113"/>
      <c r="AV338" s="113"/>
      <c r="AW338" s="113"/>
      <c r="AX338" s="113"/>
      <c r="AY338" s="113"/>
      <c r="AZ338" s="113"/>
      <c r="BA338" s="113"/>
      <c r="BB338" s="113"/>
      <c r="BC338" s="113"/>
      <c r="BD338" s="113"/>
      <c r="BE338" s="113"/>
      <c r="BF338" s="113"/>
      <c r="BG338" s="113"/>
      <c r="BH338" s="113"/>
      <c r="BI338" s="113"/>
      <c r="BJ338" s="113"/>
      <c r="BK338" s="113"/>
      <c r="BL338" s="113"/>
      <c r="BM338" s="113"/>
      <c r="BN338" s="113"/>
      <c r="BO338" s="113"/>
      <c r="BP338" s="113"/>
      <c r="BQ338" s="113"/>
      <c r="BR338" s="113"/>
      <c r="BS338" s="113"/>
      <c r="BT338" s="113"/>
      <c r="BU338" s="113"/>
      <c r="BV338" s="113"/>
      <c r="BW338" s="113"/>
      <c r="BX338" s="113"/>
      <c r="BY338" s="113"/>
      <c r="BZ338" s="113"/>
      <c r="CA338" s="113"/>
      <c r="CB338" s="113"/>
      <c r="CC338" s="113"/>
      <c r="CD338" s="113"/>
      <c r="CE338" s="113"/>
      <c r="CF338" s="113"/>
      <c r="CG338" s="113"/>
      <c r="CH338" s="113"/>
      <c r="CI338" s="113"/>
      <c r="CJ338" s="113"/>
      <c r="CK338" s="113"/>
    </row>
    <row r="339" spans="1:89" s="112" customFormat="1">
      <c r="A339" s="162"/>
      <c r="B339" s="129">
        <v>330</v>
      </c>
      <c r="C339" s="106" t="s">
        <v>92</v>
      </c>
      <c r="D339" s="124" t="s">
        <v>34</v>
      </c>
      <c r="E339" s="210">
        <v>35</v>
      </c>
      <c r="F339" s="205">
        <v>35</v>
      </c>
      <c r="G339" s="205"/>
      <c r="H339" s="205">
        <v>0.03</v>
      </c>
      <c r="I339" s="205">
        <f t="shared" si="79"/>
        <v>8.9999999999999998E-4</v>
      </c>
      <c r="J339" s="147">
        <f t="shared" si="84"/>
        <v>0</v>
      </c>
      <c r="K339" s="147">
        <f t="shared" si="85"/>
        <v>1.05</v>
      </c>
      <c r="L339" s="147">
        <f t="shared" si="86"/>
        <v>3.15E-2</v>
      </c>
      <c r="M339" s="147">
        <f t="shared" si="87"/>
        <v>1.0815000000000001</v>
      </c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13"/>
      <c r="AF339" s="113"/>
      <c r="AG339" s="113"/>
      <c r="AH339" s="113"/>
      <c r="AI339" s="113"/>
      <c r="AJ339" s="113"/>
      <c r="AK339" s="113"/>
      <c r="AL339" s="113"/>
      <c r="AM339" s="113"/>
      <c r="AN339" s="113"/>
      <c r="AO339" s="113"/>
      <c r="AP339" s="113"/>
      <c r="AQ339" s="113"/>
      <c r="AR339" s="113"/>
      <c r="AS339" s="113"/>
      <c r="AT339" s="113"/>
      <c r="AU339" s="113"/>
      <c r="AV339" s="113"/>
      <c r="AW339" s="113"/>
      <c r="AX339" s="113"/>
      <c r="AY339" s="113"/>
      <c r="AZ339" s="113"/>
      <c r="BA339" s="113"/>
      <c r="BB339" s="113"/>
      <c r="BC339" s="113"/>
      <c r="BD339" s="113"/>
      <c r="BE339" s="113"/>
      <c r="BF339" s="113"/>
      <c r="BG339" s="113"/>
      <c r="BH339" s="113"/>
      <c r="BI339" s="113"/>
      <c r="BJ339" s="113"/>
      <c r="BK339" s="113"/>
      <c r="BL339" s="113"/>
      <c r="BM339" s="113"/>
      <c r="BN339" s="113"/>
      <c r="BO339" s="113"/>
      <c r="BP339" s="113"/>
      <c r="BQ339" s="113"/>
      <c r="BR339" s="113"/>
      <c r="BS339" s="113"/>
      <c r="BT339" s="113"/>
      <c r="BU339" s="113"/>
      <c r="BV339" s="113"/>
      <c r="BW339" s="113"/>
      <c r="BX339" s="113"/>
      <c r="BY339" s="113"/>
      <c r="BZ339" s="113"/>
      <c r="CA339" s="113"/>
      <c r="CB339" s="113"/>
      <c r="CC339" s="113"/>
      <c r="CD339" s="113"/>
      <c r="CE339" s="113"/>
      <c r="CF339" s="113"/>
      <c r="CG339" s="113"/>
      <c r="CH339" s="113"/>
      <c r="CI339" s="113"/>
      <c r="CJ339" s="113"/>
      <c r="CK339" s="113"/>
    </row>
    <row r="340" spans="1:89" s="112" customFormat="1">
      <c r="A340" s="162"/>
      <c r="B340" s="129">
        <v>331</v>
      </c>
      <c r="C340" s="106" t="s">
        <v>93</v>
      </c>
      <c r="D340" s="124" t="s">
        <v>47</v>
      </c>
      <c r="E340" s="210">
        <v>25</v>
      </c>
      <c r="F340" s="205">
        <v>25</v>
      </c>
      <c r="G340" s="205"/>
      <c r="H340" s="205">
        <v>0.6</v>
      </c>
      <c r="I340" s="205">
        <f>(G340*0.1)+(H340*0.03)</f>
        <v>1.7999999999999999E-2</v>
      </c>
      <c r="J340" s="147">
        <f t="shared" si="84"/>
        <v>0</v>
      </c>
      <c r="K340" s="147">
        <f t="shared" si="85"/>
        <v>15</v>
      </c>
      <c r="L340" s="147">
        <f t="shared" si="86"/>
        <v>0.44999999999999996</v>
      </c>
      <c r="M340" s="147">
        <f t="shared" si="87"/>
        <v>15.45</v>
      </c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13"/>
      <c r="AF340" s="113"/>
      <c r="AG340" s="113"/>
      <c r="AH340" s="113"/>
      <c r="AI340" s="113"/>
      <c r="AJ340" s="113"/>
      <c r="AK340" s="113"/>
      <c r="AL340" s="113"/>
      <c r="AM340" s="113"/>
      <c r="AN340" s="113"/>
      <c r="AO340" s="113"/>
      <c r="AP340" s="113"/>
      <c r="AQ340" s="113"/>
      <c r="AR340" s="113"/>
      <c r="AS340" s="113"/>
      <c r="AT340" s="113"/>
      <c r="AU340" s="113"/>
      <c r="AV340" s="113"/>
      <c r="AW340" s="113"/>
      <c r="AX340" s="113"/>
      <c r="AY340" s="113"/>
      <c r="AZ340" s="113"/>
      <c r="BA340" s="113"/>
      <c r="BB340" s="113"/>
      <c r="BC340" s="113"/>
      <c r="BD340" s="113"/>
      <c r="BE340" s="113"/>
      <c r="BF340" s="113"/>
      <c r="BG340" s="113"/>
      <c r="BH340" s="113"/>
      <c r="BI340" s="113"/>
      <c r="BJ340" s="113"/>
      <c r="BK340" s="113"/>
      <c r="BL340" s="113"/>
      <c r="BM340" s="113"/>
      <c r="BN340" s="113"/>
      <c r="BO340" s="113"/>
      <c r="BP340" s="113"/>
      <c r="BQ340" s="113"/>
      <c r="BR340" s="113"/>
      <c r="BS340" s="113"/>
      <c r="BT340" s="113"/>
      <c r="BU340" s="113"/>
      <c r="BV340" s="113"/>
      <c r="BW340" s="113"/>
      <c r="BX340" s="113"/>
      <c r="BY340" s="113"/>
      <c r="BZ340" s="113"/>
      <c r="CA340" s="113"/>
      <c r="CB340" s="113"/>
      <c r="CC340" s="113"/>
      <c r="CD340" s="113"/>
      <c r="CE340" s="113"/>
      <c r="CF340" s="113"/>
      <c r="CG340" s="113"/>
      <c r="CH340" s="113"/>
      <c r="CI340" s="113"/>
      <c r="CJ340" s="113"/>
      <c r="CK340" s="113"/>
    </row>
    <row r="341" spans="1:89">
      <c r="A341" s="160"/>
      <c r="B341" s="129">
        <v>332</v>
      </c>
      <c r="C341" s="109" t="s">
        <v>175</v>
      </c>
      <c r="D341" s="123" t="s">
        <v>6</v>
      </c>
      <c r="E341" s="204">
        <v>21.5</v>
      </c>
      <c r="F341" s="147">
        <v>16.2</v>
      </c>
      <c r="G341" s="147">
        <v>1.7</v>
      </c>
      <c r="H341" s="147"/>
      <c r="I341" s="147">
        <f>(G341*0.1)+(H341*0.03)</f>
        <v>0.17</v>
      </c>
      <c r="J341" s="147">
        <f t="shared" si="84"/>
        <v>27.54</v>
      </c>
      <c r="K341" s="147">
        <f t="shared" si="85"/>
        <v>0</v>
      </c>
      <c r="L341" s="147">
        <f t="shared" si="86"/>
        <v>2.754</v>
      </c>
      <c r="M341" s="147">
        <f t="shared" si="87"/>
        <v>30.294</v>
      </c>
      <c r="CD341" s="104"/>
      <c r="CE341" s="104"/>
      <c r="CF341" s="104"/>
      <c r="CG341" s="104"/>
      <c r="CH341" s="104"/>
      <c r="CI341" s="104"/>
      <c r="CJ341" s="104"/>
      <c r="CK341" s="104"/>
    </row>
    <row r="342" spans="1:89" s="112" customFormat="1">
      <c r="A342" s="162"/>
      <c r="B342" s="129">
        <v>333</v>
      </c>
      <c r="C342" s="106" t="s">
        <v>389</v>
      </c>
      <c r="D342" s="124" t="s">
        <v>6</v>
      </c>
      <c r="E342" s="210">
        <v>13</v>
      </c>
      <c r="F342" s="205">
        <v>16.2</v>
      </c>
      <c r="G342" s="205"/>
      <c r="H342" s="205">
        <v>14.9</v>
      </c>
      <c r="I342" s="147">
        <f>(G342*0.1)+(H342*0.03)</f>
        <v>0.44700000000000001</v>
      </c>
      <c r="J342" s="147">
        <f t="shared" si="84"/>
        <v>0</v>
      </c>
      <c r="K342" s="147">
        <f t="shared" si="85"/>
        <v>241.38</v>
      </c>
      <c r="L342" s="147">
        <f t="shared" si="86"/>
        <v>7.2413999999999996</v>
      </c>
      <c r="M342" s="147">
        <f t="shared" si="87"/>
        <v>248.62139999999999</v>
      </c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  <c r="AF342" s="113"/>
      <c r="AG342" s="113"/>
      <c r="AH342" s="113"/>
      <c r="AI342" s="113"/>
      <c r="AJ342" s="113"/>
      <c r="AK342" s="113"/>
      <c r="AL342" s="113"/>
      <c r="AM342" s="113"/>
      <c r="AN342" s="113"/>
      <c r="AO342" s="113"/>
      <c r="AP342" s="113"/>
      <c r="AQ342" s="113"/>
      <c r="AR342" s="113"/>
      <c r="AS342" s="113"/>
      <c r="AT342" s="113"/>
      <c r="AU342" s="113"/>
      <c r="AV342" s="113"/>
      <c r="AW342" s="113"/>
      <c r="AX342" s="113"/>
      <c r="AY342" s="113"/>
      <c r="AZ342" s="113"/>
      <c r="BA342" s="113"/>
      <c r="BB342" s="113"/>
      <c r="BC342" s="113"/>
      <c r="BD342" s="113"/>
      <c r="BE342" s="113"/>
      <c r="BF342" s="113"/>
      <c r="BG342" s="113"/>
      <c r="BH342" s="113"/>
      <c r="BI342" s="113"/>
      <c r="BJ342" s="113"/>
      <c r="BK342" s="113"/>
      <c r="BL342" s="113"/>
      <c r="BM342" s="113"/>
      <c r="BN342" s="113"/>
      <c r="BO342" s="113"/>
      <c r="BP342" s="113"/>
      <c r="BQ342" s="113"/>
      <c r="BR342" s="113"/>
      <c r="BS342" s="113"/>
      <c r="BT342" s="113"/>
      <c r="BU342" s="113"/>
      <c r="BV342" s="113"/>
      <c r="BW342" s="113"/>
      <c r="BX342" s="113"/>
      <c r="BY342" s="113"/>
      <c r="BZ342" s="113"/>
      <c r="CA342" s="113"/>
      <c r="CB342" s="113"/>
      <c r="CC342" s="113"/>
      <c r="CD342" s="113"/>
      <c r="CE342" s="113"/>
      <c r="CF342" s="113"/>
      <c r="CG342" s="113"/>
      <c r="CH342" s="113"/>
      <c r="CI342" s="113"/>
      <c r="CJ342" s="113"/>
      <c r="CK342" s="113"/>
    </row>
    <row r="343" spans="1:89" s="140" customFormat="1">
      <c r="A343" s="161"/>
      <c r="B343" s="129">
        <v>334</v>
      </c>
      <c r="C343" s="136" t="s">
        <v>378</v>
      </c>
      <c r="D343" s="137"/>
      <c r="E343" s="209"/>
      <c r="F343" s="206"/>
      <c r="G343" s="206"/>
      <c r="H343" s="206"/>
      <c r="I343" s="208"/>
      <c r="J343" s="147">
        <f t="shared" ref="J343:J374" si="88">F343*G343</f>
        <v>0</v>
      </c>
      <c r="K343" s="147">
        <f t="shared" ref="K343:K374" si="89">F343*H343</f>
        <v>0</v>
      </c>
      <c r="L343" s="147">
        <f t="shared" ref="L343:L374" si="90">F343*I343</f>
        <v>0</v>
      </c>
      <c r="M343" s="147">
        <f t="shared" ref="M343:M374" si="91">J343+K343+L343</f>
        <v>0</v>
      </c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  <c r="AO343" s="139"/>
      <c r="AP343" s="139"/>
      <c r="AQ343" s="139"/>
      <c r="AR343" s="139"/>
      <c r="AS343" s="139"/>
      <c r="AT343" s="139"/>
      <c r="AU343" s="139"/>
      <c r="AV343" s="139"/>
      <c r="AW343" s="139"/>
      <c r="AX343" s="139"/>
      <c r="AY343" s="139"/>
      <c r="AZ343" s="139"/>
      <c r="BA343" s="139"/>
      <c r="BB343" s="139"/>
      <c r="BC343" s="139"/>
      <c r="BD343" s="139"/>
      <c r="BE343" s="139"/>
      <c r="BF343" s="139"/>
      <c r="BG343" s="139"/>
      <c r="BH343" s="139"/>
      <c r="BI343" s="139"/>
      <c r="BJ343" s="139"/>
      <c r="BK343" s="139"/>
      <c r="BL343" s="139"/>
      <c r="BM343" s="139"/>
      <c r="BN343" s="139"/>
      <c r="BO343" s="139"/>
      <c r="BP343" s="139"/>
      <c r="BQ343" s="139"/>
      <c r="BR343" s="139"/>
      <c r="BS343" s="139"/>
      <c r="BT343" s="139"/>
      <c r="BU343" s="139"/>
      <c r="BV343" s="139"/>
      <c r="BW343" s="139"/>
      <c r="BX343" s="139"/>
      <c r="BY343" s="139"/>
      <c r="BZ343" s="139"/>
      <c r="CA343" s="139"/>
      <c r="CB343" s="139"/>
      <c r="CC343" s="139"/>
      <c r="CD343" s="139"/>
      <c r="CE343" s="139"/>
      <c r="CF343" s="139"/>
      <c r="CG343" s="139"/>
      <c r="CH343" s="139"/>
      <c r="CI343" s="139"/>
      <c r="CJ343" s="139"/>
      <c r="CK343" s="139"/>
    </row>
    <row r="344" spans="1:89" ht="24">
      <c r="B344" s="129">
        <v>335</v>
      </c>
      <c r="C344" s="143" t="s">
        <v>379</v>
      </c>
      <c r="D344" s="123" t="s">
        <v>6</v>
      </c>
      <c r="E344" s="129"/>
      <c r="F344" s="147">
        <f>((5.515*2)+(1.52+(4.28*2)))*2.5</f>
        <v>52.774999999999999</v>
      </c>
      <c r="G344" s="147">
        <v>3.8</v>
      </c>
      <c r="H344" s="147"/>
      <c r="I344" s="147">
        <f t="shared" si="79"/>
        <v>0.38</v>
      </c>
      <c r="J344" s="147">
        <f t="shared" si="88"/>
        <v>200.54499999999999</v>
      </c>
      <c r="K344" s="147">
        <f t="shared" si="89"/>
        <v>0</v>
      </c>
      <c r="L344" s="147">
        <f t="shared" si="90"/>
        <v>20.054500000000001</v>
      </c>
      <c r="M344" s="147">
        <f t="shared" si="91"/>
        <v>220.59949999999998</v>
      </c>
      <c r="CD344" s="104"/>
      <c r="CE344" s="104"/>
      <c r="CF344" s="104"/>
      <c r="CG344" s="104"/>
      <c r="CH344" s="104"/>
      <c r="CI344" s="104"/>
      <c r="CJ344" s="104"/>
      <c r="CK344" s="104"/>
    </row>
    <row r="345" spans="1:89" s="112" customFormat="1">
      <c r="A345" s="162"/>
      <c r="B345" s="129">
        <v>336</v>
      </c>
      <c r="C345" s="106" t="s">
        <v>417</v>
      </c>
      <c r="D345" s="124" t="s">
        <v>11</v>
      </c>
      <c r="E345" s="210">
        <v>12</v>
      </c>
      <c r="F345" s="205">
        <v>39</v>
      </c>
      <c r="G345" s="205"/>
      <c r="H345" s="205">
        <v>1.34</v>
      </c>
      <c r="I345" s="205">
        <f t="shared" si="79"/>
        <v>4.02E-2</v>
      </c>
      <c r="J345" s="147">
        <f t="shared" si="88"/>
        <v>0</v>
      </c>
      <c r="K345" s="147">
        <f t="shared" si="89"/>
        <v>52.260000000000005</v>
      </c>
      <c r="L345" s="147">
        <f t="shared" si="90"/>
        <v>1.5678000000000001</v>
      </c>
      <c r="M345" s="147">
        <f t="shared" si="91"/>
        <v>53.827800000000003</v>
      </c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  <c r="AA345" s="113"/>
      <c r="AB345" s="113"/>
      <c r="AC345" s="113"/>
      <c r="AD345" s="113"/>
      <c r="AE345" s="113"/>
      <c r="AF345" s="113"/>
      <c r="AG345" s="113"/>
      <c r="AH345" s="113"/>
      <c r="AI345" s="113"/>
      <c r="AJ345" s="113"/>
      <c r="AK345" s="113"/>
      <c r="AL345" s="113"/>
      <c r="AM345" s="113"/>
      <c r="AN345" s="113"/>
      <c r="AO345" s="113"/>
      <c r="AP345" s="113"/>
      <c r="AQ345" s="113"/>
      <c r="AR345" s="113"/>
      <c r="AS345" s="113"/>
      <c r="AT345" s="113"/>
      <c r="AU345" s="113"/>
      <c r="AV345" s="113"/>
      <c r="AW345" s="113"/>
      <c r="AX345" s="113"/>
      <c r="AY345" s="113"/>
      <c r="AZ345" s="113"/>
      <c r="BA345" s="113"/>
      <c r="BB345" s="113"/>
      <c r="BC345" s="113"/>
      <c r="BD345" s="113"/>
      <c r="BE345" s="113"/>
      <c r="BF345" s="113"/>
      <c r="BG345" s="113"/>
      <c r="BH345" s="113"/>
      <c r="BI345" s="113"/>
      <c r="BJ345" s="113"/>
      <c r="BK345" s="113"/>
      <c r="BL345" s="113"/>
      <c r="BM345" s="113"/>
      <c r="BN345" s="113"/>
      <c r="BO345" s="113"/>
      <c r="BP345" s="113"/>
      <c r="BQ345" s="113"/>
      <c r="BR345" s="113"/>
      <c r="BS345" s="113"/>
      <c r="BT345" s="113"/>
      <c r="BU345" s="113"/>
      <c r="BV345" s="113"/>
      <c r="BW345" s="113"/>
      <c r="BX345" s="113"/>
      <c r="BY345" s="113"/>
      <c r="BZ345" s="113"/>
      <c r="CA345" s="113"/>
      <c r="CB345" s="113"/>
      <c r="CC345" s="113"/>
      <c r="CD345" s="113"/>
      <c r="CE345" s="113"/>
      <c r="CF345" s="113"/>
      <c r="CG345" s="113"/>
      <c r="CH345" s="113"/>
      <c r="CI345" s="113"/>
      <c r="CJ345" s="113"/>
      <c r="CK345" s="113"/>
    </row>
    <row r="346" spans="1:89" s="112" customFormat="1">
      <c r="A346" s="162"/>
      <c r="B346" s="129">
        <v>337</v>
      </c>
      <c r="C346" s="106" t="s">
        <v>416</v>
      </c>
      <c r="D346" s="124" t="s">
        <v>11</v>
      </c>
      <c r="E346" s="210">
        <v>4</v>
      </c>
      <c r="F346" s="205">
        <v>44</v>
      </c>
      <c r="G346" s="205"/>
      <c r="H346" s="205">
        <v>1.56</v>
      </c>
      <c r="I346" s="205">
        <f t="shared" si="79"/>
        <v>4.6800000000000001E-2</v>
      </c>
      <c r="J346" s="147">
        <f t="shared" si="88"/>
        <v>0</v>
      </c>
      <c r="K346" s="147">
        <f t="shared" si="89"/>
        <v>68.64</v>
      </c>
      <c r="L346" s="147">
        <f t="shared" si="90"/>
        <v>2.0592000000000001</v>
      </c>
      <c r="M346" s="147">
        <f t="shared" si="91"/>
        <v>70.699200000000005</v>
      </c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13"/>
      <c r="AF346" s="113"/>
      <c r="AG346" s="113"/>
      <c r="AH346" s="113"/>
      <c r="AI346" s="113"/>
      <c r="AJ346" s="113"/>
      <c r="AK346" s="113"/>
      <c r="AL346" s="113"/>
      <c r="AM346" s="113"/>
      <c r="AN346" s="113"/>
      <c r="AO346" s="113"/>
      <c r="AP346" s="113"/>
      <c r="AQ346" s="113"/>
      <c r="AR346" s="113"/>
      <c r="AS346" s="113"/>
      <c r="AT346" s="113"/>
      <c r="AU346" s="113"/>
      <c r="AV346" s="113"/>
      <c r="AW346" s="113"/>
      <c r="AX346" s="113"/>
      <c r="AY346" s="113"/>
      <c r="AZ346" s="113"/>
      <c r="BA346" s="113"/>
      <c r="BB346" s="113"/>
      <c r="BC346" s="113"/>
      <c r="BD346" s="113"/>
      <c r="BE346" s="113"/>
      <c r="BF346" s="113"/>
      <c r="BG346" s="113"/>
      <c r="BH346" s="113"/>
      <c r="BI346" s="113"/>
      <c r="BJ346" s="113"/>
      <c r="BK346" s="113"/>
      <c r="BL346" s="113"/>
      <c r="BM346" s="113"/>
      <c r="BN346" s="113"/>
      <c r="BO346" s="113"/>
      <c r="BP346" s="113"/>
      <c r="BQ346" s="113"/>
      <c r="BR346" s="113"/>
      <c r="BS346" s="113"/>
      <c r="BT346" s="113"/>
      <c r="BU346" s="113"/>
      <c r="BV346" s="113"/>
      <c r="BW346" s="113"/>
      <c r="BX346" s="113"/>
      <c r="BY346" s="113"/>
      <c r="BZ346" s="113"/>
      <c r="CA346" s="113"/>
      <c r="CB346" s="113"/>
      <c r="CC346" s="113"/>
      <c r="CD346" s="113"/>
      <c r="CE346" s="113"/>
      <c r="CF346" s="113"/>
      <c r="CG346" s="113"/>
      <c r="CH346" s="113"/>
      <c r="CI346" s="113"/>
      <c r="CJ346" s="113"/>
      <c r="CK346" s="113"/>
    </row>
    <row r="347" spans="1:89" s="112" customFormat="1">
      <c r="A347" s="162"/>
      <c r="B347" s="129">
        <v>338</v>
      </c>
      <c r="C347" s="106" t="s">
        <v>149</v>
      </c>
      <c r="D347" s="124" t="s">
        <v>11</v>
      </c>
      <c r="E347" s="210">
        <v>18</v>
      </c>
      <c r="F347" s="205">
        <v>44</v>
      </c>
      <c r="G347" s="205"/>
      <c r="H347" s="205">
        <v>0.65</v>
      </c>
      <c r="I347" s="205">
        <f t="shared" si="79"/>
        <v>1.95E-2</v>
      </c>
      <c r="J347" s="147">
        <f t="shared" si="88"/>
        <v>0</v>
      </c>
      <c r="K347" s="147">
        <f t="shared" si="89"/>
        <v>28.6</v>
      </c>
      <c r="L347" s="147">
        <f t="shared" si="90"/>
        <v>0.85799999999999998</v>
      </c>
      <c r="M347" s="147">
        <f t="shared" si="91"/>
        <v>29.458000000000002</v>
      </c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13"/>
      <c r="AF347" s="113"/>
      <c r="AG347" s="113"/>
      <c r="AH347" s="113"/>
      <c r="AI347" s="113"/>
      <c r="AJ347" s="113"/>
      <c r="AK347" s="113"/>
      <c r="AL347" s="113"/>
      <c r="AM347" s="113"/>
      <c r="AN347" s="113"/>
      <c r="AO347" s="113"/>
      <c r="AP347" s="113"/>
      <c r="AQ347" s="113"/>
      <c r="AR347" s="113"/>
      <c r="AS347" s="113"/>
      <c r="AT347" s="113"/>
      <c r="AU347" s="113"/>
      <c r="AV347" s="113"/>
      <c r="AW347" s="113"/>
      <c r="AX347" s="113"/>
      <c r="AY347" s="113"/>
      <c r="AZ347" s="113"/>
      <c r="BA347" s="113"/>
      <c r="BB347" s="113"/>
      <c r="BC347" s="113"/>
      <c r="BD347" s="113"/>
      <c r="BE347" s="113"/>
      <c r="BF347" s="113"/>
      <c r="BG347" s="113"/>
      <c r="BH347" s="113"/>
      <c r="BI347" s="113"/>
      <c r="BJ347" s="113"/>
      <c r="BK347" s="113"/>
      <c r="BL347" s="113"/>
      <c r="BM347" s="113"/>
      <c r="BN347" s="113"/>
      <c r="BO347" s="113"/>
      <c r="BP347" s="113"/>
      <c r="BQ347" s="113"/>
      <c r="BR347" s="113"/>
      <c r="BS347" s="113"/>
      <c r="BT347" s="113"/>
      <c r="BU347" s="113"/>
      <c r="BV347" s="113"/>
      <c r="BW347" s="113"/>
      <c r="BX347" s="113"/>
      <c r="BY347" s="113"/>
      <c r="BZ347" s="113"/>
      <c r="CA347" s="113"/>
      <c r="CB347" s="113"/>
      <c r="CC347" s="113"/>
      <c r="CD347" s="113"/>
      <c r="CE347" s="113"/>
      <c r="CF347" s="113"/>
      <c r="CG347" s="113"/>
      <c r="CH347" s="113"/>
      <c r="CI347" s="113"/>
      <c r="CJ347" s="113"/>
      <c r="CK347" s="113"/>
    </row>
    <row r="348" spans="1:89" s="112" customFormat="1">
      <c r="A348" s="162"/>
      <c r="B348" s="129">
        <v>339</v>
      </c>
      <c r="C348" s="106" t="s">
        <v>91</v>
      </c>
      <c r="D348" s="124" t="s">
        <v>6</v>
      </c>
      <c r="E348" s="210">
        <v>74</v>
      </c>
      <c r="F348" s="205">
        <f>F344*4*1.1</f>
        <v>232.21</v>
      </c>
      <c r="G348" s="205"/>
      <c r="H348" s="205">
        <v>0.94</v>
      </c>
      <c r="I348" s="205">
        <f t="shared" si="79"/>
        <v>2.8199999999999996E-2</v>
      </c>
      <c r="J348" s="147">
        <f t="shared" si="88"/>
        <v>0</v>
      </c>
      <c r="K348" s="147">
        <f t="shared" si="89"/>
        <v>218.2774</v>
      </c>
      <c r="L348" s="147">
        <f t="shared" si="90"/>
        <v>6.5483219999999989</v>
      </c>
      <c r="M348" s="147">
        <f t="shared" si="91"/>
        <v>224.82572199999998</v>
      </c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13"/>
      <c r="AF348" s="113"/>
      <c r="AG348" s="113"/>
      <c r="AH348" s="113"/>
      <c r="AI348" s="113"/>
      <c r="AJ348" s="113"/>
      <c r="AK348" s="113"/>
      <c r="AL348" s="113"/>
      <c r="AM348" s="113"/>
      <c r="AN348" s="113"/>
      <c r="AO348" s="113"/>
      <c r="AP348" s="113"/>
      <c r="AQ348" s="113"/>
      <c r="AR348" s="113"/>
      <c r="AS348" s="113"/>
      <c r="AT348" s="113"/>
      <c r="AU348" s="113"/>
      <c r="AV348" s="113"/>
      <c r="AW348" s="113"/>
      <c r="AX348" s="113"/>
      <c r="AY348" s="113"/>
      <c r="AZ348" s="113"/>
      <c r="BA348" s="113"/>
      <c r="BB348" s="113"/>
      <c r="BC348" s="113"/>
      <c r="BD348" s="113"/>
      <c r="BE348" s="113"/>
      <c r="BF348" s="113"/>
      <c r="BG348" s="113"/>
      <c r="BH348" s="113"/>
      <c r="BI348" s="113"/>
      <c r="BJ348" s="113"/>
      <c r="BK348" s="113"/>
      <c r="BL348" s="113"/>
      <c r="BM348" s="113"/>
      <c r="BN348" s="113"/>
      <c r="BO348" s="113"/>
      <c r="BP348" s="113"/>
      <c r="BQ348" s="113"/>
      <c r="BR348" s="113"/>
      <c r="BS348" s="113"/>
      <c r="BT348" s="113"/>
      <c r="BU348" s="113"/>
      <c r="BV348" s="113"/>
      <c r="BW348" s="113"/>
      <c r="BX348" s="113"/>
      <c r="BY348" s="113"/>
      <c r="BZ348" s="113"/>
      <c r="CA348" s="113"/>
      <c r="CB348" s="113"/>
      <c r="CC348" s="113"/>
      <c r="CD348" s="113"/>
      <c r="CE348" s="113"/>
      <c r="CF348" s="113"/>
      <c r="CG348" s="113"/>
      <c r="CH348" s="113"/>
      <c r="CI348" s="113"/>
      <c r="CJ348" s="113"/>
      <c r="CK348" s="113"/>
    </row>
    <row r="349" spans="1:89" s="112" customFormat="1">
      <c r="A349" s="162"/>
      <c r="B349" s="129">
        <v>340</v>
      </c>
      <c r="C349" s="106" t="s">
        <v>92</v>
      </c>
      <c r="D349" s="124" t="s">
        <v>34</v>
      </c>
      <c r="E349" s="210">
        <v>35</v>
      </c>
      <c r="F349" s="205">
        <v>100</v>
      </c>
      <c r="G349" s="205"/>
      <c r="H349" s="205">
        <v>0.04</v>
      </c>
      <c r="I349" s="205">
        <f t="shared" si="79"/>
        <v>1.1999999999999999E-3</v>
      </c>
      <c r="J349" s="147">
        <f t="shared" si="88"/>
        <v>0</v>
      </c>
      <c r="K349" s="147">
        <f t="shared" si="89"/>
        <v>4</v>
      </c>
      <c r="L349" s="147">
        <f t="shared" si="90"/>
        <v>0.12</v>
      </c>
      <c r="M349" s="147">
        <f t="shared" si="91"/>
        <v>4.12</v>
      </c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13"/>
      <c r="AF349" s="113"/>
      <c r="AG349" s="113"/>
      <c r="AH349" s="113"/>
      <c r="AI349" s="113"/>
      <c r="AJ349" s="113"/>
      <c r="AK349" s="113"/>
      <c r="AL349" s="113"/>
      <c r="AM349" s="113"/>
      <c r="AN349" s="113"/>
      <c r="AO349" s="113"/>
      <c r="AP349" s="113"/>
      <c r="AQ349" s="113"/>
      <c r="AR349" s="113"/>
      <c r="AS349" s="113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13"/>
      <c r="BD349" s="113"/>
      <c r="BE349" s="113"/>
      <c r="BF349" s="113"/>
      <c r="BG349" s="113"/>
      <c r="BH349" s="113"/>
      <c r="BI349" s="113"/>
      <c r="BJ349" s="113"/>
      <c r="BK349" s="113"/>
      <c r="BL349" s="113"/>
      <c r="BM349" s="113"/>
      <c r="BN349" s="113"/>
      <c r="BO349" s="113"/>
      <c r="BP349" s="113"/>
      <c r="BQ349" s="113"/>
      <c r="BR349" s="113"/>
      <c r="BS349" s="113"/>
      <c r="BT349" s="113"/>
      <c r="BU349" s="113"/>
      <c r="BV349" s="113"/>
      <c r="BW349" s="113"/>
      <c r="BX349" s="113"/>
      <c r="BY349" s="113"/>
      <c r="BZ349" s="113"/>
      <c r="CA349" s="113"/>
      <c r="CB349" s="113"/>
      <c r="CC349" s="113"/>
      <c r="CD349" s="113"/>
      <c r="CE349" s="113"/>
      <c r="CF349" s="113"/>
      <c r="CG349" s="113"/>
      <c r="CH349" s="113"/>
      <c r="CI349" s="113"/>
      <c r="CJ349" s="113"/>
      <c r="CK349" s="113"/>
    </row>
    <row r="350" spans="1:89" s="112" customFormat="1">
      <c r="A350" s="162"/>
      <c r="B350" s="129">
        <v>341</v>
      </c>
      <c r="C350" s="106" t="s">
        <v>93</v>
      </c>
      <c r="D350" s="124" t="s">
        <v>47</v>
      </c>
      <c r="E350" s="210">
        <v>25</v>
      </c>
      <c r="F350" s="205">
        <v>50</v>
      </c>
      <c r="G350" s="205"/>
      <c r="H350" s="205">
        <v>0.6</v>
      </c>
      <c r="I350" s="205">
        <f t="shared" si="79"/>
        <v>1.7999999999999999E-2</v>
      </c>
      <c r="J350" s="147">
        <f t="shared" si="88"/>
        <v>0</v>
      </c>
      <c r="K350" s="147">
        <f t="shared" si="89"/>
        <v>30</v>
      </c>
      <c r="L350" s="147">
        <f t="shared" si="90"/>
        <v>0.89999999999999991</v>
      </c>
      <c r="M350" s="147">
        <f t="shared" si="91"/>
        <v>30.9</v>
      </c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113"/>
      <c r="AI350" s="113"/>
      <c r="AJ350" s="113"/>
      <c r="AK350" s="113"/>
      <c r="AL350" s="113"/>
      <c r="AM350" s="113"/>
      <c r="AN350" s="113"/>
      <c r="AO350" s="113"/>
      <c r="AP350" s="113"/>
      <c r="AQ350" s="113"/>
      <c r="AR350" s="113"/>
      <c r="AS350" s="113"/>
      <c r="AT350" s="113"/>
      <c r="AU350" s="113"/>
      <c r="AV350" s="113"/>
      <c r="AW350" s="113"/>
      <c r="AX350" s="113"/>
      <c r="AY350" s="113"/>
      <c r="AZ350" s="113"/>
      <c r="BA350" s="113"/>
      <c r="BB350" s="113"/>
      <c r="BC350" s="113"/>
      <c r="BD350" s="113"/>
      <c r="BE350" s="113"/>
      <c r="BF350" s="113"/>
      <c r="BG350" s="113"/>
      <c r="BH350" s="113"/>
      <c r="BI350" s="113"/>
      <c r="BJ350" s="113"/>
      <c r="BK350" s="113"/>
      <c r="BL350" s="113"/>
      <c r="BM350" s="113"/>
      <c r="BN350" s="113"/>
      <c r="BO350" s="113"/>
      <c r="BP350" s="113"/>
      <c r="BQ350" s="113"/>
      <c r="BR350" s="113"/>
      <c r="BS350" s="113"/>
      <c r="BT350" s="113"/>
      <c r="BU350" s="113"/>
      <c r="BV350" s="113"/>
      <c r="BW350" s="113"/>
      <c r="BX350" s="113"/>
      <c r="BY350" s="113"/>
      <c r="BZ350" s="113"/>
      <c r="CA350" s="113"/>
      <c r="CB350" s="113"/>
      <c r="CC350" s="113"/>
      <c r="CD350" s="113"/>
      <c r="CE350" s="113"/>
      <c r="CF350" s="113"/>
      <c r="CG350" s="113"/>
      <c r="CH350" s="113"/>
      <c r="CI350" s="113"/>
      <c r="CJ350" s="113"/>
      <c r="CK350" s="113"/>
    </row>
    <row r="351" spans="1:89" ht="36">
      <c r="A351" s="160"/>
      <c r="B351" s="129">
        <v>342</v>
      </c>
      <c r="C351" s="143" t="s">
        <v>384</v>
      </c>
      <c r="D351" s="123" t="s">
        <v>6</v>
      </c>
      <c r="E351" s="204"/>
      <c r="F351" s="147">
        <v>12.5</v>
      </c>
      <c r="G351" s="211">
        <v>11.2</v>
      </c>
      <c r="H351" s="211">
        <v>51</v>
      </c>
      <c r="I351" s="147">
        <f t="shared" si="79"/>
        <v>2.65</v>
      </c>
      <c r="J351" s="147">
        <f t="shared" si="88"/>
        <v>140</v>
      </c>
      <c r="K351" s="147">
        <f t="shared" si="89"/>
        <v>637.5</v>
      </c>
      <c r="L351" s="147">
        <f t="shared" si="90"/>
        <v>33.125</v>
      </c>
      <c r="M351" s="147">
        <f t="shared" si="91"/>
        <v>810.625</v>
      </c>
      <c r="CD351" s="104"/>
      <c r="CE351" s="104"/>
      <c r="CF351" s="104"/>
      <c r="CG351" s="104"/>
      <c r="CH351" s="104"/>
      <c r="CI351" s="104"/>
      <c r="CJ351" s="104"/>
      <c r="CK351" s="104"/>
    </row>
    <row r="352" spans="1:89">
      <c r="A352" s="160"/>
      <c r="B352" s="129">
        <v>343</v>
      </c>
      <c r="C352" s="106" t="s">
        <v>373</v>
      </c>
      <c r="D352" s="123" t="s">
        <v>275</v>
      </c>
      <c r="E352" s="204"/>
      <c r="F352" s="147">
        <v>3</v>
      </c>
      <c r="G352" s="147"/>
      <c r="H352" s="147">
        <v>2.5</v>
      </c>
      <c r="I352" s="147">
        <f t="shared" si="79"/>
        <v>7.4999999999999997E-2</v>
      </c>
      <c r="J352" s="147">
        <f t="shared" si="88"/>
        <v>0</v>
      </c>
      <c r="K352" s="147">
        <f t="shared" si="89"/>
        <v>7.5</v>
      </c>
      <c r="L352" s="147">
        <f t="shared" si="90"/>
        <v>0.22499999999999998</v>
      </c>
      <c r="M352" s="147">
        <f t="shared" si="91"/>
        <v>7.7249999999999996</v>
      </c>
      <c r="CD352" s="104"/>
      <c r="CE352" s="104"/>
      <c r="CF352" s="104"/>
      <c r="CG352" s="104"/>
      <c r="CH352" s="104"/>
      <c r="CI352" s="104"/>
      <c r="CJ352" s="104"/>
      <c r="CK352" s="104"/>
    </row>
    <row r="353" spans="1:89">
      <c r="A353" s="160"/>
      <c r="B353" s="129">
        <v>344</v>
      </c>
      <c r="C353" s="106" t="s">
        <v>374</v>
      </c>
      <c r="D353" s="123" t="s">
        <v>83</v>
      </c>
      <c r="E353" s="204"/>
      <c r="F353" s="147">
        <v>14</v>
      </c>
      <c r="G353" s="147"/>
      <c r="H353" s="147">
        <v>7.0000000000000007E-2</v>
      </c>
      <c r="I353" s="147">
        <f t="shared" si="79"/>
        <v>2.1000000000000003E-3</v>
      </c>
      <c r="J353" s="147">
        <f t="shared" si="88"/>
        <v>0</v>
      </c>
      <c r="K353" s="147">
        <f t="shared" si="89"/>
        <v>0.98000000000000009</v>
      </c>
      <c r="L353" s="147">
        <f t="shared" si="90"/>
        <v>2.9400000000000003E-2</v>
      </c>
      <c r="M353" s="147">
        <f t="shared" si="91"/>
        <v>1.0094000000000001</v>
      </c>
      <c r="CD353" s="104"/>
      <c r="CE353" s="104"/>
      <c r="CF353" s="104"/>
      <c r="CG353" s="104"/>
      <c r="CH353" s="104"/>
      <c r="CI353" s="104"/>
      <c r="CJ353" s="104"/>
      <c r="CK353" s="104"/>
    </row>
    <row r="354" spans="1:89">
      <c r="A354" s="160"/>
      <c r="B354" s="129">
        <v>345</v>
      </c>
      <c r="C354" s="125" t="s">
        <v>382</v>
      </c>
      <c r="D354" s="123" t="s">
        <v>6</v>
      </c>
      <c r="E354" s="204">
        <v>64.8</v>
      </c>
      <c r="F354" s="211">
        <v>50.18</v>
      </c>
      <c r="G354" s="211">
        <v>11.2</v>
      </c>
      <c r="H354" s="211"/>
      <c r="I354" s="147">
        <f t="shared" si="79"/>
        <v>1.1199999999999999</v>
      </c>
      <c r="J354" s="147">
        <f t="shared" si="88"/>
        <v>562.01599999999996</v>
      </c>
      <c r="K354" s="147">
        <f t="shared" si="89"/>
        <v>0</v>
      </c>
      <c r="L354" s="147">
        <f t="shared" si="90"/>
        <v>56.201599999999992</v>
      </c>
      <c r="M354" s="147">
        <f t="shared" si="91"/>
        <v>618.21759999999995</v>
      </c>
      <c r="CD354" s="104"/>
      <c r="CE354" s="104"/>
      <c r="CF354" s="104"/>
      <c r="CG354" s="104"/>
      <c r="CH354" s="104"/>
      <c r="CI354" s="104"/>
      <c r="CJ354" s="104"/>
      <c r="CK354" s="104"/>
    </row>
    <row r="355" spans="1:89">
      <c r="B355" s="129">
        <v>346</v>
      </c>
      <c r="C355" s="109" t="s">
        <v>381</v>
      </c>
      <c r="D355" s="123" t="s">
        <v>114</v>
      </c>
      <c r="E355" s="204">
        <v>30</v>
      </c>
      <c r="F355" s="147">
        <v>30</v>
      </c>
      <c r="G355" s="147">
        <v>1.35</v>
      </c>
      <c r="H355" s="147"/>
      <c r="I355" s="147">
        <f t="shared" si="79"/>
        <v>0.13500000000000001</v>
      </c>
      <c r="J355" s="147">
        <f t="shared" si="88"/>
        <v>40.5</v>
      </c>
      <c r="K355" s="147">
        <f t="shared" si="89"/>
        <v>0</v>
      </c>
      <c r="L355" s="147">
        <f t="shared" si="90"/>
        <v>4.0500000000000007</v>
      </c>
      <c r="M355" s="147">
        <f t="shared" si="91"/>
        <v>44.55</v>
      </c>
      <c r="CD355" s="104"/>
      <c r="CE355" s="104"/>
      <c r="CF355" s="104"/>
      <c r="CG355" s="104"/>
      <c r="CH355" s="104"/>
      <c r="CI355" s="104"/>
      <c r="CJ355" s="104"/>
      <c r="CK355" s="104"/>
    </row>
    <row r="356" spans="1:89">
      <c r="B356" s="129">
        <v>347</v>
      </c>
      <c r="C356" s="173" t="s">
        <v>370</v>
      </c>
      <c r="D356" s="123" t="s">
        <v>11</v>
      </c>
      <c r="E356" s="129"/>
      <c r="F356" s="147">
        <v>5</v>
      </c>
      <c r="G356" s="147">
        <v>12.75</v>
      </c>
      <c r="H356" s="147"/>
      <c r="I356" s="147">
        <f t="shared" si="79"/>
        <v>1.2750000000000001</v>
      </c>
      <c r="J356" s="147">
        <f t="shared" si="88"/>
        <v>63.75</v>
      </c>
      <c r="K356" s="147">
        <f t="shared" si="89"/>
        <v>0</v>
      </c>
      <c r="L356" s="147">
        <f t="shared" si="90"/>
        <v>6.3750000000000009</v>
      </c>
      <c r="M356" s="147">
        <f t="shared" si="91"/>
        <v>70.125</v>
      </c>
      <c r="CD356" s="104"/>
      <c r="CE356" s="104"/>
      <c r="CF356" s="104"/>
      <c r="CG356" s="104"/>
      <c r="CH356" s="104"/>
      <c r="CI356" s="104"/>
      <c r="CJ356" s="104"/>
      <c r="CK356" s="104"/>
    </row>
    <row r="357" spans="1:89">
      <c r="A357" s="160"/>
      <c r="B357" s="129">
        <v>348</v>
      </c>
      <c r="C357" s="155" t="s">
        <v>80</v>
      </c>
      <c r="D357" s="123" t="s">
        <v>6</v>
      </c>
      <c r="E357" s="204">
        <v>64.8</v>
      </c>
      <c r="F357" s="147">
        <v>50.2</v>
      </c>
      <c r="G357" s="147"/>
      <c r="H357" s="147">
        <v>51</v>
      </c>
      <c r="I357" s="147">
        <f t="shared" si="79"/>
        <v>1.53</v>
      </c>
      <c r="J357" s="147">
        <f t="shared" si="88"/>
        <v>0</v>
      </c>
      <c r="K357" s="147">
        <f t="shared" si="89"/>
        <v>2560.2000000000003</v>
      </c>
      <c r="L357" s="147">
        <f t="shared" si="90"/>
        <v>76.806000000000012</v>
      </c>
      <c r="M357" s="147">
        <f t="shared" si="91"/>
        <v>2637.0060000000003</v>
      </c>
      <c r="CD357" s="104"/>
      <c r="CE357" s="104"/>
      <c r="CF357" s="104"/>
      <c r="CG357" s="104"/>
      <c r="CH357" s="104"/>
      <c r="CI357" s="104"/>
      <c r="CJ357" s="104"/>
      <c r="CK357" s="104"/>
    </row>
    <row r="358" spans="1:89">
      <c r="B358" s="129">
        <v>349</v>
      </c>
      <c r="C358" s="106" t="s">
        <v>383</v>
      </c>
      <c r="D358" s="123" t="s">
        <v>273</v>
      </c>
      <c r="E358" s="129"/>
      <c r="F358" s="147">
        <v>150</v>
      </c>
      <c r="G358" s="147"/>
      <c r="H358" s="147">
        <v>1.19</v>
      </c>
      <c r="I358" s="147">
        <f t="shared" si="79"/>
        <v>3.5699999999999996E-2</v>
      </c>
      <c r="J358" s="147">
        <f t="shared" si="88"/>
        <v>0</v>
      </c>
      <c r="K358" s="147">
        <f t="shared" si="89"/>
        <v>178.5</v>
      </c>
      <c r="L358" s="147">
        <f t="shared" si="90"/>
        <v>5.3549999999999995</v>
      </c>
      <c r="M358" s="147">
        <f t="shared" si="91"/>
        <v>183.85499999999999</v>
      </c>
      <c r="CD358" s="104"/>
      <c r="CE358" s="104"/>
      <c r="CF358" s="104"/>
      <c r="CG358" s="104"/>
      <c r="CH358" s="104"/>
      <c r="CI358" s="104"/>
      <c r="CJ358" s="104"/>
      <c r="CK358" s="104"/>
    </row>
    <row r="359" spans="1:89">
      <c r="B359" s="129">
        <v>350</v>
      </c>
      <c r="C359" s="106" t="s">
        <v>164</v>
      </c>
      <c r="D359" s="123" t="s">
        <v>11</v>
      </c>
      <c r="E359" s="204">
        <v>6.5</v>
      </c>
      <c r="F359" s="147">
        <v>6.5</v>
      </c>
      <c r="G359" s="147"/>
      <c r="H359" s="147">
        <v>26.1</v>
      </c>
      <c r="I359" s="147">
        <f t="shared" si="79"/>
        <v>0.78300000000000003</v>
      </c>
      <c r="J359" s="147">
        <f t="shared" si="88"/>
        <v>0</v>
      </c>
      <c r="K359" s="147">
        <f t="shared" si="89"/>
        <v>169.65</v>
      </c>
      <c r="L359" s="147">
        <f t="shared" si="90"/>
        <v>5.0895000000000001</v>
      </c>
      <c r="M359" s="147">
        <f t="shared" si="91"/>
        <v>174.73949999999999</v>
      </c>
      <c r="CD359" s="104"/>
      <c r="CE359" s="104"/>
      <c r="CF359" s="104"/>
      <c r="CG359" s="104"/>
      <c r="CH359" s="104"/>
      <c r="CI359" s="104"/>
      <c r="CJ359" s="104"/>
      <c r="CK359" s="104"/>
    </row>
    <row r="360" spans="1:89">
      <c r="B360" s="129">
        <v>351</v>
      </c>
      <c r="C360" s="106" t="s">
        <v>385</v>
      </c>
      <c r="D360" s="123" t="s">
        <v>11</v>
      </c>
      <c r="E360" s="204">
        <v>2</v>
      </c>
      <c r="F360" s="147">
        <v>2</v>
      </c>
      <c r="G360" s="147">
        <v>6.5</v>
      </c>
      <c r="H360" s="147">
        <v>48.31</v>
      </c>
      <c r="I360" s="147">
        <f t="shared" si="79"/>
        <v>2.0992999999999999</v>
      </c>
      <c r="J360" s="147">
        <f t="shared" si="88"/>
        <v>13</v>
      </c>
      <c r="K360" s="147">
        <f t="shared" si="89"/>
        <v>96.62</v>
      </c>
      <c r="L360" s="147">
        <f t="shared" si="90"/>
        <v>4.1985999999999999</v>
      </c>
      <c r="M360" s="147">
        <f t="shared" si="91"/>
        <v>113.8186</v>
      </c>
      <c r="CD360" s="104"/>
      <c r="CE360" s="104"/>
      <c r="CF360" s="104"/>
      <c r="CG360" s="104"/>
      <c r="CH360" s="104"/>
      <c r="CI360" s="104"/>
      <c r="CJ360" s="104"/>
      <c r="CK360" s="104"/>
    </row>
    <row r="361" spans="1:89">
      <c r="B361" s="129">
        <v>352</v>
      </c>
      <c r="C361" s="106" t="s">
        <v>387</v>
      </c>
      <c r="D361" s="123"/>
      <c r="E361" s="204">
        <v>8</v>
      </c>
      <c r="F361" s="147">
        <v>5</v>
      </c>
      <c r="G361" s="147"/>
      <c r="H361" s="147">
        <v>173</v>
      </c>
      <c r="I361" s="147">
        <f t="shared" si="79"/>
        <v>5.1899999999999995</v>
      </c>
      <c r="J361" s="147">
        <f t="shared" si="88"/>
        <v>0</v>
      </c>
      <c r="K361" s="147">
        <f t="shared" si="89"/>
        <v>865</v>
      </c>
      <c r="L361" s="147">
        <f t="shared" si="90"/>
        <v>25.949999999999996</v>
      </c>
      <c r="M361" s="147">
        <f t="shared" si="91"/>
        <v>890.95</v>
      </c>
      <c r="CD361" s="104"/>
      <c r="CE361" s="104"/>
      <c r="CF361" s="104"/>
      <c r="CG361" s="104"/>
      <c r="CH361" s="104"/>
      <c r="CI361" s="104"/>
      <c r="CJ361" s="104"/>
      <c r="CK361" s="104"/>
    </row>
    <row r="362" spans="1:89">
      <c r="B362" s="129">
        <v>353</v>
      </c>
      <c r="C362" s="106" t="s">
        <v>388</v>
      </c>
      <c r="D362" s="123"/>
      <c r="E362" s="129">
        <v>1</v>
      </c>
      <c r="F362" s="147">
        <v>1</v>
      </c>
      <c r="G362" s="147"/>
      <c r="H362" s="147">
        <v>200</v>
      </c>
      <c r="I362" s="147">
        <f t="shared" si="79"/>
        <v>6</v>
      </c>
      <c r="J362" s="147">
        <f t="shared" si="88"/>
        <v>0</v>
      </c>
      <c r="K362" s="147">
        <f t="shared" si="89"/>
        <v>200</v>
      </c>
      <c r="L362" s="147">
        <f t="shared" si="90"/>
        <v>6</v>
      </c>
      <c r="M362" s="147">
        <f t="shared" si="91"/>
        <v>206</v>
      </c>
      <c r="CD362" s="104"/>
      <c r="CE362" s="104"/>
      <c r="CF362" s="104"/>
      <c r="CG362" s="104"/>
      <c r="CH362" s="104"/>
      <c r="CI362" s="104"/>
      <c r="CJ362" s="104"/>
      <c r="CK362" s="104"/>
    </row>
    <row r="363" spans="1:89">
      <c r="B363" s="129">
        <v>354</v>
      </c>
      <c r="C363" s="106" t="s">
        <v>373</v>
      </c>
      <c r="D363" s="123" t="s">
        <v>275</v>
      </c>
      <c r="E363" s="129"/>
      <c r="F363" s="147">
        <v>13</v>
      </c>
      <c r="G363" s="147"/>
      <c r="H363" s="147">
        <v>2.5</v>
      </c>
      <c r="I363" s="147">
        <f t="shared" si="79"/>
        <v>7.4999999999999997E-2</v>
      </c>
      <c r="J363" s="147">
        <f t="shared" si="88"/>
        <v>0</v>
      </c>
      <c r="K363" s="147">
        <f t="shared" si="89"/>
        <v>32.5</v>
      </c>
      <c r="L363" s="147">
        <f t="shared" si="90"/>
        <v>0.97499999999999998</v>
      </c>
      <c r="M363" s="147">
        <f t="shared" si="91"/>
        <v>33.475000000000001</v>
      </c>
      <c r="CD363" s="104"/>
      <c r="CE363" s="104"/>
      <c r="CF363" s="104"/>
      <c r="CG363" s="104"/>
      <c r="CH363" s="104"/>
      <c r="CI363" s="104"/>
      <c r="CJ363" s="104"/>
      <c r="CK363" s="104"/>
    </row>
    <row r="364" spans="1:89">
      <c r="B364" s="129">
        <v>355</v>
      </c>
      <c r="C364" s="106" t="s">
        <v>374</v>
      </c>
      <c r="D364" s="123" t="s">
        <v>83</v>
      </c>
      <c r="E364" s="129"/>
      <c r="F364" s="147">
        <v>65</v>
      </c>
      <c r="G364" s="147"/>
      <c r="H364" s="147">
        <v>7.0000000000000007E-2</v>
      </c>
      <c r="I364" s="147">
        <f t="shared" ref="I364:I392" si="92">(G364*0.1)+(H364*0.03)</f>
        <v>2.1000000000000003E-3</v>
      </c>
      <c r="J364" s="147">
        <f t="shared" si="88"/>
        <v>0</v>
      </c>
      <c r="K364" s="147">
        <f t="shared" si="89"/>
        <v>4.5500000000000007</v>
      </c>
      <c r="L364" s="147">
        <f t="shared" si="90"/>
        <v>0.13650000000000001</v>
      </c>
      <c r="M364" s="147">
        <f t="shared" si="91"/>
        <v>4.6865000000000006</v>
      </c>
      <c r="CD364" s="104"/>
      <c r="CE364" s="104"/>
      <c r="CF364" s="104"/>
      <c r="CG364" s="104"/>
      <c r="CH364" s="104"/>
      <c r="CI364" s="104"/>
      <c r="CJ364" s="104"/>
      <c r="CK364" s="104"/>
    </row>
    <row r="365" spans="1:89" s="112" customFormat="1" ht="25.5" customHeight="1">
      <c r="B365" s="129">
        <v>356</v>
      </c>
      <c r="C365" s="143" t="s">
        <v>380</v>
      </c>
      <c r="D365" s="123" t="s">
        <v>6</v>
      </c>
      <c r="E365" s="204">
        <v>59.85</v>
      </c>
      <c r="F365" s="147">
        <f>105.9-4.5-8.1+(4.65*4*2.5)</f>
        <v>139.80000000000001</v>
      </c>
      <c r="G365" s="147">
        <v>3.8</v>
      </c>
      <c r="H365" s="147"/>
      <c r="I365" s="147">
        <f t="shared" si="92"/>
        <v>0.38</v>
      </c>
      <c r="J365" s="147">
        <f t="shared" si="88"/>
        <v>531.24</v>
      </c>
      <c r="K365" s="147">
        <f t="shared" si="89"/>
        <v>0</v>
      </c>
      <c r="L365" s="147">
        <f t="shared" si="90"/>
        <v>53.124000000000002</v>
      </c>
      <c r="M365" s="147">
        <f t="shared" si="91"/>
        <v>584.36400000000003</v>
      </c>
      <c r="N365" s="102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  <c r="AA365" s="113"/>
      <c r="AB365" s="113"/>
      <c r="AC365" s="113"/>
      <c r="AD365" s="113"/>
      <c r="AE365" s="113"/>
      <c r="AF365" s="113"/>
      <c r="AG365" s="113"/>
      <c r="AH365" s="113"/>
      <c r="AI365" s="113"/>
      <c r="AJ365" s="113"/>
      <c r="AK365" s="113"/>
      <c r="AL365" s="113"/>
      <c r="AM365" s="113"/>
      <c r="AN365" s="113"/>
      <c r="AO365" s="113"/>
      <c r="AP365" s="113"/>
      <c r="AQ365" s="113"/>
      <c r="AR365" s="113"/>
      <c r="AS365" s="113"/>
      <c r="AT365" s="113"/>
      <c r="AU365" s="113"/>
      <c r="AV365" s="113"/>
      <c r="AW365" s="113"/>
      <c r="AX365" s="113"/>
      <c r="AY365" s="113"/>
      <c r="AZ365" s="113"/>
      <c r="BA365" s="113"/>
      <c r="BB365" s="113"/>
      <c r="BC365" s="113"/>
      <c r="BD365" s="113"/>
      <c r="BE365" s="113"/>
      <c r="BF365" s="113"/>
      <c r="BG365" s="113"/>
      <c r="BH365" s="113"/>
      <c r="BI365" s="113"/>
      <c r="BJ365" s="113"/>
      <c r="BK365" s="113"/>
      <c r="BL365" s="113"/>
      <c r="BM365" s="113"/>
      <c r="BN365" s="113"/>
      <c r="BO365" s="113"/>
      <c r="BP365" s="113"/>
      <c r="BQ365" s="113"/>
      <c r="BR365" s="113"/>
      <c r="BS365" s="113"/>
      <c r="BT365" s="113"/>
      <c r="BU365" s="113"/>
      <c r="BV365" s="113"/>
      <c r="BW365" s="113"/>
      <c r="BX365" s="113"/>
      <c r="BY365" s="113"/>
      <c r="BZ365" s="113"/>
      <c r="CA365" s="113"/>
      <c r="CB365" s="113"/>
      <c r="CC365" s="113"/>
      <c r="CD365" s="113"/>
      <c r="CE365" s="113"/>
      <c r="CF365" s="113"/>
      <c r="CG365" s="113"/>
      <c r="CH365" s="113"/>
      <c r="CI365" s="113"/>
      <c r="CJ365" s="113"/>
      <c r="CK365" s="113"/>
    </row>
    <row r="366" spans="1:89" s="112" customFormat="1">
      <c r="A366" s="162"/>
      <c r="B366" s="129">
        <v>357</v>
      </c>
      <c r="C366" s="106" t="s">
        <v>413</v>
      </c>
      <c r="D366" s="124" t="s">
        <v>11</v>
      </c>
      <c r="E366" s="210">
        <v>38</v>
      </c>
      <c r="F366" s="205">
        <f>(4.58*2+3.19*2+1.52*2+(3.6+6.5)*2+5.5*4+4.28*6+4.65*2+1.98*2+4.65*4)*1.05</f>
        <v>124.236</v>
      </c>
      <c r="G366" s="205"/>
      <c r="H366" s="205">
        <v>0.72</v>
      </c>
      <c r="I366" s="205">
        <f t="shared" si="92"/>
        <v>2.1599999999999998E-2</v>
      </c>
      <c r="J366" s="147">
        <f t="shared" si="88"/>
        <v>0</v>
      </c>
      <c r="K366" s="147">
        <f t="shared" si="89"/>
        <v>89.449920000000006</v>
      </c>
      <c r="L366" s="147">
        <f t="shared" si="90"/>
        <v>2.6834975999999999</v>
      </c>
      <c r="M366" s="147">
        <f t="shared" si="91"/>
        <v>92.133417600000001</v>
      </c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  <c r="AA366" s="113"/>
      <c r="AB366" s="113"/>
      <c r="AC366" s="113"/>
      <c r="AD366" s="113"/>
      <c r="AE366" s="113"/>
      <c r="AF366" s="113"/>
      <c r="AG366" s="113"/>
      <c r="AH366" s="113"/>
      <c r="AI366" s="113"/>
      <c r="AJ366" s="113"/>
      <c r="AK366" s="113"/>
      <c r="AL366" s="113"/>
      <c r="AM366" s="113"/>
      <c r="AN366" s="113"/>
      <c r="AO366" s="113"/>
      <c r="AP366" s="113"/>
      <c r="AQ366" s="113"/>
      <c r="AR366" s="113"/>
      <c r="AS366" s="113"/>
      <c r="AT366" s="113"/>
      <c r="AU366" s="113"/>
      <c r="AV366" s="113"/>
      <c r="AW366" s="113"/>
      <c r="AX366" s="113"/>
      <c r="AY366" s="113"/>
      <c r="AZ366" s="113"/>
      <c r="BA366" s="113"/>
      <c r="BB366" s="113"/>
      <c r="BC366" s="113"/>
      <c r="BD366" s="113"/>
      <c r="BE366" s="113"/>
      <c r="BF366" s="113"/>
      <c r="BG366" s="113"/>
      <c r="BH366" s="113"/>
      <c r="BI366" s="113"/>
      <c r="BJ366" s="113"/>
      <c r="BK366" s="113"/>
      <c r="BL366" s="113"/>
      <c r="BM366" s="113"/>
      <c r="BN366" s="113"/>
      <c r="BO366" s="113"/>
      <c r="BP366" s="113"/>
      <c r="BQ366" s="113"/>
      <c r="BR366" s="113"/>
      <c r="BS366" s="113"/>
      <c r="BT366" s="113"/>
      <c r="BU366" s="113"/>
      <c r="BV366" s="113"/>
      <c r="BW366" s="113"/>
      <c r="BX366" s="113"/>
      <c r="BY366" s="113"/>
      <c r="BZ366" s="113"/>
      <c r="CA366" s="113"/>
      <c r="CB366" s="113"/>
      <c r="CC366" s="113"/>
      <c r="CD366" s="113"/>
      <c r="CE366" s="113"/>
      <c r="CF366" s="113"/>
      <c r="CG366" s="113"/>
      <c r="CH366" s="113"/>
      <c r="CI366" s="113"/>
      <c r="CJ366" s="113"/>
      <c r="CK366" s="113"/>
    </row>
    <row r="367" spans="1:89" s="112" customFormat="1">
      <c r="A367" s="162"/>
      <c r="B367" s="129">
        <v>358</v>
      </c>
      <c r="C367" s="106" t="s">
        <v>414</v>
      </c>
      <c r="D367" s="124" t="s">
        <v>11</v>
      </c>
      <c r="E367" s="210">
        <v>66</v>
      </c>
      <c r="F367" s="205">
        <f>(F365/3)/0.4</f>
        <v>116.5</v>
      </c>
      <c r="G367" s="205"/>
      <c r="H367" s="205">
        <v>0.82</v>
      </c>
      <c r="I367" s="205">
        <f t="shared" si="92"/>
        <v>2.4599999999999997E-2</v>
      </c>
      <c r="J367" s="147">
        <f t="shared" si="88"/>
        <v>0</v>
      </c>
      <c r="K367" s="147">
        <f t="shared" si="89"/>
        <v>95.53</v>
      </c>
      <c r="L367" s="147">
        <f t="shared" si="90"/>
        <v>2.8658999999999994</v>
      </c>
      <c r="M367" s="147">
        <f t="shared" si="91"/>
        <v>98.395899999999997</v>
      </c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  <c r="AA367" s="113"/>
      <c r="AB367" s="113"/>
      <c r="AC367" s="113"/>
      <c r="AD367" s="113"/>
      <c r="AE367" s="113"/>
      <c r="AF367" s="113"/>
      <c r="AG367" s="113"/>
      <c r="AH367" s="113"/>
      <c r="AI367" s="113"/>
      <c r="AJ367" s="113"/>
      <c r="AK367" s="113"/>
      <c r="AL367" s="113"/>
      <c r="AM367" s="113"/>
      <c r="AN367" s="113"/>
      <c r="AO367" s="113"/>
      <c r="AP367" s="113"/>
      <c r="AQ367" s="113"/>
      <c r="AR367" s="113"/>
      <c r="AS367" s="113"/>
      <c r="AT367" s="113"/>
      <c r="AU367" s="113"/>
      <c r="AV367" s="113"/>
      <c r="AW367" s="113"/>
      <c r="AX367" s="113"/>
      <c r="AY367" s="113"/>
      <c r="AZ367" s="113"/>
      <c r="BA367" s="113"/>
      <c r="BB367" s="113"/>
      <c r="BC367" s="113"/>
      <c r="BD367" s="113"/>
      <c r="BE367" s="113"/>
      <c r="BF367" s="113"/>
      <c r="BG367" s="113"/>
      <c r="BH367" s="113"/>
      <c r="BI367" s="113"/>
      <c r="BJ367" s="113"/>
      <c r="BK367" s="113"/>
      <c r="BL367" s="113"/>
      <c r="BM367" s="113"/>
      <c r="BN367" s="113"/>
      <c r="BO367" s="113"/>
      <c r="BP367" s="113"/>
      <c r="BQ367" s="113"/>
      <c r="BR367" s="113"/>
      <c r="BS367" s="113"/>
      <c r="BT367" s="113"/>
      <c r="BU367" s="113"/>
      <c r="BV367" s="113"/>
      <c r="BW367" s="113"/>
      <c r="BX367" s="113"/>
      <c r="BY367" s="113"/>
      <c r="BZ367" s="113"/>
      <c r="CA367" s="113"/>
      <c r="CB367" s="113"/>
      <c r="CC367" s="113"/>
      <c r="CD367" s="113"/>
      <c r="CE367" s="113"/>
      <c r="CF367" s="113"/>
      <c r="CG367" s="113"/>
      <c r="CH367" s="113"/>
      <c r="CI367" s="113"/>
      <c r="CJ367" s="113"/>
      <c r="CK367" s="113"/>
    </row>
    <row r="368" spans="1:89" s="112" customFormat="1">
      <c r="A368" s="162"/>
      <c r="B368" s="129">
        <v>359</v>
      </c>
      <c r="C368" s="106" t="s">
        <v>135</v>
      </c>
      <c r="D368" s="124" t="s">
        <v>11</v>
      </c>
      <c r="E368" s="210">
        <v>28</v>
      </c>
      <c r="F368" s="205">
        <v>128</v>
      </c>
      <c r="G368" s="205"/>
      <c r="H368" s="205">
        <v>0.08</v>
      </c>
      <c r="I368" s="205">
        <f t="shared" si="92"/>
        <v>2.3999999999999998E-3</v>
      </c>
      <c r="J368" s="147">
        <f t="shared" si="88"/>
        <v>0</v>
      </c>
      <c r="K368" s="147">
        <f t="shared" si="89"/>
        <v>10.24</v>
      </c>
      <c r="L368" s="147">
        <f t="shared" si="90"/>
        <v>0.30719999999999997</v>
      </c>
      <c r="M368" s="147">
        <f t="shared" si="91"/>
        <v>10.5472</v>
      </c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  <c r="AA368" s="113"/>
      <c r="AB368" s="113"/>
      <c r="AC368" s="113"/>
      <c r="AD368" s="113"/>
      <c r="AE368" s="113"/>
      <c r="AF368" s="113"/>
      <c r="AG368" s="113"/>
      <c r="AH368" s="113"/>
      <c r="AI368" s="113"/>
      <c r="AJ368" s="113"/>
      <c r="AK368" s="113"/>
      <c r="AL368" s="113"/>
      <c r="AM368" s="113"/>
      <c r="AN368" s="113"/>
      <c r="AO368" s="113"/>
      <c r="AP368" s="113"/>
      <c r="AQ368" s="113"/>
      <c r="AR368" s="113"/>
      <c r="AS368" s="113"/>
      <c r="AT368" s="113"/>
      <c r="AU368" s="113"/>
      <c r="AV368" s="113"/>
      <c r="AW368" s="113"/>
      <c r="AX368" s="113"/>
      <c r="AY368" s="113"/>
      <c r="AZ368" s="113"/>
      <c r="BA368" s="113"/>
      <c r="BB368" s="113"/>
      <c r="BC368" s="113"/>
      <c r="BD368" s="113"/>
      <c r="BE368" s="113"/>
      <c r="BF368" s="113"/>
      <c r="BG368" s="113"/>
      <c r="BH368" s="113"/>
      <c r="BI368" s="113"/>
      <c r="BJ368" s="113"/>
      <c r="BK368" s="113"/>
      <c r="BL368" s="113"/>
      <c r="BM368" s="113"/>
      <c r="BN368" s="113"/>
      <c r="BO368" s="113"/>
      <c r="BP368" s="113"/>
      <c r="BQ368" s="113"/>
      <c r="BR368" s="113"/>
      <c r="BS368" s="113"/>
      <c r="BT368" s="113"/>
      <c r="BU368" s="113"/>
      <c r="BV368" s="113"/>
      <c r="BW368" s="113"/>
      <c r="BX368" s="113"/>
      <c r="BY368" s="113"/>
      <c r="BZ368" s="113"/>
      <c r="CA368" s="113"/>
      <c r="CB368" s="113"/>
      <c r="CC368" s="113"/>
      <c r="CD368" s="113"/>
      <c r="CE368" s="113"/>
      <c r="CF368" s="113"/>
      <c r="CG368" s="113"/>
      <c r="CH368" s="113"/>
      <c r="CI368" s="113"/>
      <c r="CJ368" s="113"/>
      <c r="CK368" s="113"/>
    </row>
    <row r="369" spans="1:89" s="112" customFormat="1">
      <c r="A369" s="162"/>
      <c r="B369" s="129">
        <v>360</v>
      </c>
      <c r="C369" s="106" t="s">
        <v>149</v>
      </c>
      <c r="D369" s="124" t="s">
        <v>11</v>
      </c>
      <c r="E369" s="210">
        <v>60</v>
      </c>
      <c r="F369" s="205">
        <v>128</v>
      </c>
      <c r="G369" s="205"/>
      <c r="H369" s="205">
        <v>0.65</v>
      </c>
      <c r="I369" s="205">
        <f t="shared" si="92"/>
        <v>1.95E-2</v>
      </c>
      <c r="J369" s="147">
        <f t="shared" si="88"/>
        <v>0</v>
      </c>
      <c r="K369" s="147">
        <f t="shared" si="89"/>
        <v>83.2</v>
      </c>
      <c r="L369" s="147">
        <f t="shared" si="90"/>
        <v>2.496</v>
      </c>
      <c r="M369" s="147">
        <f t="shared" si="91"/>
        <v>85.695999999999998</v>
      </c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  <c r="AA369" s="113"/>
      <c r="AB369" s="113"/>
      <c r="AC369" s="113"/>
      <c r="AD369" s="113"/>
      <c r="AE369" s="113"/>
      <c r="AF369" s="113"/>
      <c r="AG369" s="113"/>
      <c r="AH369" s="113"/>
      <c r="AI369" s="113"/>
      <c r="AJ369" s="113"/>
      <c r="AK369" s="113"/>
      <c r="AL369" s="113"/>
      <c r="AM369" s="113"/>
      <c r="AN369" s="113"/>
      <c r="AO369" s="113"/>
      <c r="AP369" s="113"/>
      <c r="AQ369" s="113"/>
      <c r="AR369" s="113"/>
      <c r="AS369" s="113"/>
      <c r="AT369" s="113"/>
      <c r="AU369" s="113"/>
      <c r="AV369" s="113"/>
      <c r="AW369" s="113"/>
      <c r="AX369" s="113"/>
      <c r="AY369" s="113"/>
      <c r="AZ369" s="113"/>
      <c r="BA369" s="113"/>
      <c r="BB369" s="113"/>
      <c r="BC369" s="113"/>
      <c r="BD369" s="113"/>
      <c r="BE369" s="113"/>
      <c r="BF369" s="113"/>
      <c r="BG369" s="113"/>
      <c r="BH369" s="113"/>
      <c r="BI369" s="113"/>
      <c r="BJ369" s="113"/>
      <c r="BK369" s="113"/>
      <c r="BL369" s="113"/>
      <c r="BM369" s="113"/>
      <c r="BN369" s="113"/>
      <c r="BO369" s="113"/>
      <c r="BP369" s="113"/>
      <c r="BQ369" s="113"/>
      <c r="BR369" s="113"/>
      <c r="BS369" s="113"/>
      <c r="BT369" s="113"/>
      <c r="BU369" s="113"/>
      <c r="BV369" s="113"/>
      <c r="BW369" s="113"/>
      <c r="BX369" s="113"/>
      <c r="BY369" s="113"/>
      <c r="BZ369" s="113"/>
      <c r="CA369" s="113"/>
      <c r="CB369" s="113"/>
      <c r="CC369" s="113"/>
      <c r="CD369" s="113"/>
      <c r="CE369" s="113"/>
      <c r="CF369" s="113"/>
      <c r="CG369" s="113"/>
      <c r="CH369" s="113"/>
      <c r="CI369" s="113"/>
      <c r="CJ369" s="113"/>
      <c r="CK369" s="113"/>
    </row>
    <row r="370" spans="1:89" s="112" customFormat="1">
      <c r="A370" s="162"/>
      <c r="B370" s="129">
        <v>361</v>
      </c>
      <c r="C370" s="106" t="s">
        <v>91</v>
      </c>
      <c r="D370" s="124" t="s">
        <v>6</v>
      </c>
      <c r="E370" s="210">
        <v>252</v>
      </c>
      <c r="F370" s="205">
        <f>F365+(4.65*2.5*4)</f>
        <v>186.3</v>
      </c>
      <c r="G370" s="205"/>
      <c r="H370" s="205">
        <v>0.94</v>
      </c>
      <c r="I370" s="205">
        <f t="shared" si="92"/>
        <v>2.8199999999999996E-2</v>
      </c>
      <c r="J370" s="147">
        <f t="shared" si="88"/>
        <v>0</v>
      </c>
      <c r="K370" s="147">
        <f t="shared" si="89"/>
        <v>175.12200000000001</v>
      </c>
      <c r="L370" s="147">
        <f t="shared" si="90"/>
        <v>5.25366</v>
      </c>
      <c r="M370" s="147">
        <f t="shared" si="91"/>
        <v>180.37566000000001</v>
      </c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  <c r="AA370" s="113"/>
      <c r="AB370" s="113"/>
      <c r="AC370" s="113"/>
      <c r="AD370" s="113"/>
      <c r="AE370" s="113"/>
      <c r="AF370" s="113"/>
      <c r="AG370" s="113"/>
      <c r="AH370" s="113"/>
      <c r="AI370" s="113"/>
      <c r="AJ370" s="113"/>
      <c r="AK370" s="113"/>
      <c r="AL370" s="113"/>
      <c r="AM370" s="113"/>
      <c r="AN370" s="113"/>
      <c r="AO370" s="113"/>
      <c r="AP370" s="113"/>
      <c r="AQ370" s="113"/>
      <c r="AR370" s="113"/>
      <c r="AS370" s="113"/>
      <c r="AT370" s="113"/>
      <c r="AU370" s="113"/>
      <c r="AV370" s="113"/>
      <c r="AW370" s="113"/>
      <c r="AX370" s="113"/>
      <c r="AY370" s="113"/>
      <c r="AZ370" s="113"/>
      <c r="BA370" s="113"/>
      <c r="BB370" s="113"/>
      <c r="BC370" s="113"/>
      <c r="BD370" s="113"/>
      <c r="BE370" s="113"/>
      <c r="BF370" s="113"/>
      <c r="BG370" s="113"/>
      <c r="BH370" s="113"/>
      <c r="BI370" s="113"/>
      <c r="BJ370" s="113"/>
      <c r="BK370" s="113"/>
      <c r="BL370" s="113"/>
      <c r="BM370" s="113"/>
      <c r="BN370" s="113"/>
      <c r="BO370" s="113"/>
      <c r="BP370" s="113"/>
      <c r="BQ370" s="113"/>
      <c r="BR370" s="113"/>
      <c r="BS370" s="113"/>
      <c r="BT370" s="113"/>
      <c r="BU370" s="113"/>
      <c r="BV370" s="113"/>
      <c r="BW370" s="113"/>
      <c r="BX370" s="113"/>
      <c r="BY370" s="113"/>
      <c r="BZ370" s="113"/>
      <c r="CA370" s="113"/>
      <c r="CB370" s="113"/>
      <c r="CC370" s="113"/>
      <c r="CD370" s="113"/>
      <c r="CE370" s="113"/>
      <c r="CF370" s="113"/>
      <c r="CG370" s="113"/>
      <c r="CH370" s="113"/>
      <c r="CI370" s="113"/>
      <c r="CJ370" s="113"/>
      <c r="CK370" s="113"/>
    </row>
    <row r="371" spans="1:89" s="112" customFormat="1">
      <c r="A371" s="162"/>
      <c r="B371" s="129">
        <v>362</v>
      </c>
      <c r="C371" s="106" t="s">
        <v>92</v>
      </c>
      <c r="D371" s="124" t="s">
        <v>34</v>
      </c>
      <c r="E371" s="210">
        <v>90</v>
      </c>
      <c r="F371" s="205">
        <v>180</v>
      </c>
      <c r="G371" s="205"/>
      <c r="H371" s="205">
        <v>0.04</v>
      </c>
      <c r="I371" s="205">
        <f t="shared" si="92"/>
        <v>1.1999999999999999E-3</v>
      </c>
      <c r="J371" s="147">
        <f t="shared" si="88"/>
        <v>0</v>
      </c>
      <c r="K371" s="147">
        <f t="shared" si="89"/>
        <v>7.2</v>
      </c>
      <c r="L371" s="147">
        <f t="shared" si="90"/>
        <v>0.21599999999999997</v>
      </c>
      <c r="M371" s="147">
        <f t="shared" si="91"/>
        <v>7.4160000000000004</v>
      </c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  <c r="AA371" s="113"/>
      <c r="AB371" s="113"/>
      <c r="AC371" s="113"/>
      <c r="AD371" s="113"/>
      <c r="AE371" s="113"/>
      <c r="AF371" s="113"/>
      <c r="AG371" s="113"/>
      <c r="AH371" s="113"/>
      <c r="AI371" s="113"/>
      <c r="AJ371" s="113"/>
      <c r="AK371" s="113"/>
      <c r="AL371" s="113"/>
      <c r="AM371" s="113"/>
      <c r="AN371" s="113"/>
      <c r="AO371" s="113"/>
      <c r="AP371" s="113"/>
      <c r="AQ371" s="113"/>
      <c r="AR371" s="113"/>
      <c r="AS371" s="113"/>
      <c r="AT371" s="113"/>
      <c r="AU371" s="113"/>
      <c r="AV371" s="113"/>
      <c r="AW371" s="113"/>
      <c r="AX371" s="113"/>
      <c r="AY371" s="113"/>
      <c r="AZ371" s="113"/>
      <c r="BA371" s="113"/>
      <c r="BB371" s="113"/>
      <c r="BC371" s="113"/>
      <c r="BD371" s="113"/>
      <c r="BE371" s="113"/>
      <c r="BF371" s="113"/>
      <c r="BG371" s="113"/>
      <c r="BH371" s="113"/>
      <c r="BI371" s="113"/>
      <c r="BJ371" s="113"/>
      <c r="BK371" s="113"/>
      <c r="BL371" s="113"/>
      <c r="BM371" s="113"/>
      <c r="BN371" s="113"/>
      <c r="BO371" s="113"/>
      <c r="BP371" s="113"/>
      <c r="BQ371" s="113"/>
      <c r="BR371" s="113"/>
      <c r="BS371" s="113"/>
      <c r="BT371" s="113"/>
      <c r="BU371" s="113"/>
      <c r="BV371" s="113"/>
      <c r="BW371" s="113"/>
      <c r="BX371" s="113"/>
      <c r="BY371" s="113"/>
      <c r="BZ371" s="113"/>
      <c r="CA371" s="113"/>
      <c r="CB371" s="113"/>
      <c r="CC371" s="113"/>
      <c r="CD371" s="113"/>
      <c r="CE371" s="113"/>
      <c r="CF371" s="113"/>
      <c r="CG371" s="113"/>
      <c r="CH371" s="113"/>
      <c r="CI371" s="113"/>
      <c r="CJ371" s="113"/>
      <c r="CK371" s="113"/>
    </row>
    <row r="372" spans="1:89" s="112" customFormat="1">
      <c r="A372" s="162"/>
      <c r="B372" s="129">
        <v>363</v>
      </c>
      <c r="C372" s="106" t="s">
        <v>93</v>
      </c>
      <c r="D372" s="124" t="s">
        <v>47</v>
      </c>
      <c r="E372" s="210">
        <v>50</v>
      </c>
      <c r="F372" s="205">
        <v>75</v>
      </c>
      <c r="G372" s="205"/>
      <c r="H372" s="205">
        <v>0.6</v>
      </c>
      <c r="I372" s="205">
        <f t="shared" si="92"/>
        <v>1.7999999999999999E-2</v>
      </c>
      <c r="J372" s="147">
        <f t="shared" si="88"/>
        <v>0</v>
      </c>
      <c r="K372" s="147">
        <f t="shared" si="89"/>
        <v>45</v>
      </c>
      <c r="L372" s="147">
        <f t="shared" si="90"/>
        <v>1.3499999999999999</v>
      </c>
      <c r="M372" s="147">
        <f t="shared" si="91"/>
        <v>46.35</v>
      </c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  <c r="AA372" s="113"/>
      <c r="AB372" s="113"/>
      <c r="AC372" s="113"/>
      <c r="AD372" s="113"/>
      <c r="AE372" s="113"/>
      <c r="AF372" s="113"/>
      <c r="AG372" s="113"/>
      <c r="AH372" s="113"/>
      <c r="AI372" s="113"/>
      <c r="AJ372" s="113"/>
      <c r="AK372" s="113"/>
      <c r="AL372" s="113"/>
      <c r="AM372" s="113"/>
      <c r="AN372" s="113"/>
      <c r="AO372" s="113"/>
      <c r="AP372" s="113"/>
      <c r="AQ372" s="113"/>
      <c r="AR372" s="113"/>
      <c r="AS372" s="113"/>
      <c r="AT372" s="113"/>
      <c r="AU372" s="113"/>
      <c r="AV372" s="113"/>
      <c r="AW372" s="113"/>
      <c r="AX372" s="113"/>
      <c r="AY372" s="113"/>
      <c r="AZ372" s="113"/>
      <c r="BA372" s="113"/>
      <c r="BB372" s="113"/>
      <c r="BC372" s="113"/>
      <c r="BD372" s="113"/>
      <c r="BE372" s="113"/>
      <c r="BF372" s="113"/>
      <c r="BG372" s="113"/>
      <c r="BH372" s="113"/>
      <c r="BI372" s="113"/>
      <c r="BJ372" s="113"/>
      <c r="BK372" s="113"/>
      <c r="BL372" s="113"/>
      <c r="BM372" s="113"/>
      <c r="BN372" s="113"/>
      <c r="BO372" s="113"/>
      <c r="BP372" s="113"/>
      <c r="BQ372" s="113"/>
      <c r="BR372" s="113"/>
      <c r="BS372" s="113"/>
      <c r="BT372" s="113"/>
      <c r="BU372" s="113"/>
      <c r="BV372" s="113"/>
      <c r="BW372" s="113"/>
      <c r="BX372" s="113"/>
      <c r="BY372" s="113"/>
      <c r="BZ372" s="113"/>
      <c r="CA372" s="113"/>
      <c r="CB372" s="113"/>
      <c r="CC372" s="113"/>
      <c r="CD372" s="113"/>
      <c r="CE372" s="113"/>
      <c r="CF372" s="113"/>
      <c r="CG372" s="113"/>
      <c r="CH372" s="113"/>
      <c r="CI372" s="113"/>
      <c r="CJ372" s="113"/>
      <c r="CK372" s="113"/>
    </row>
    <row r="373" spans="1:89">
      <c r="A373" s="160"/>
      <c r="B373" s="129">
        <v>364</v>
      </c>
      <c r="C373" s="109" t="s">
        <v>418</v>
      </c>
      <c r="D373" s="123" t="s">
        <v>6</v>
      </c>
      <c r="E373" s="204">
        <v>21.5</v>
      </c>
      <c r="F373" s="147">
        <v>4.5</v>
      </c>
      <c r="G373" s="147">
        <v>1.7</v>
      </c>
      <c r="H373" s="147"/>
      <c r="I373" s="147">
        <f t="shared" si="92"/>
        <v>0.17</v>
      </c>
      <c r="J373" s="147">
        <f t="shared" si="88"/>
        <v>7.6499999999999995</v>
      </c>
      <c r="K373" s="147">
        <f t="shared" si="89"/>
        <v>0</v>
      </c>
      <c r="L373" s="147">
        <f t="shared" si="90"/>
        <v>0.76500000000000001</v>
      </c>
      <c r="M373" s="147">
        <f t="shared" si="91"/>
        <v>8.4149999999999991</v>
      </c>
      <c r="CD373" s="104"/>
      <c r="CE373" s="104"/>
      <c r="CF373" s="104"/>
      <c r="CG373" s="104"/>
      <c r="CH373" s="104"/>
      <c r="CI373" s="104"/>
      <c r="CJ373" s="104"/>
      <c r="CK373" s="104"/>
    </row>
    <row r="374" spans="1:89" s="112" customFormat="1">
      <c r="A374" s="162"/>
      <c r="B374" s="129">
        <v>365</v>
      </c>
      <c r="C374" s="106" t="s">
        <v>389</v>
      </c>
      <c r="D374" s="124" t="s">
        <v>6</v>
      </c>
      <c r="E374" s="210">
        <v>13</v>
      </c>
      <c r="F374" s="205">
        <v>4.5</v>
      </c>
      <c r="G374" s="205"/>
      <c r="H374" s="205">
        <v>14.9</v>
      </c>
      <c r="I374" s="147">
        <f t="shared" si="92"/>
        <v>0.44700000000000001</v>
      </c>
      <c r="J374" s="147">
        <f t="shared" si="88"/>
        <v>0</v>
      </c>
      <c r="K374" s="147">
        <f t="shared" si="89"/>
        <v>67.05</v>
      </c>
      <c r="L374" s="147">
        <f t="shared" si="90"/>
        <v>2.0114999999999998</v>
      </c>
      <c r="M374" s="147">
        <f t="shared" si="91"/>
        <v>69.061499999999995</v>
      </c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  <c r="AA374" s="113"/>
      <c r="AB374" s="113"/>
      <c r="AC374" s="113"/>
      <c r="AD374" s="113"/>
      <c r="AE374" s="113"/>
      <c r="AF374" s="113"/>
      <c r="AG374" s="113"/>
      <c r="AH374" s="113"/>
      <c r="AI374" s="113"/>
      <c r="AJ374" s="113"/>
      <c r="AK374" s="113"/>
      <c r="AL374" s="113"/>
      <c r="AM374" s="113"/>
      <c r="AN374" s="113"/>
      <c r="AO374" s="113"/>
      <c r="AP374" s="113"/>
      <c r="AQ374" s="113"/>
      <c r="AR374" s="113"/>
      <c r="AS374" s="113"/>
      <c r="AT374" s="113"/>
      <c r="AU374" s="113"/>
      <c r="AV374" s="113"/>
      <c r="AW374" s="113"/>
      <c r="AX374" s="113"/>
      <c r="AY374" s="113"/>
      <c r="AZ374" s="113"/>
      <c r="BA374" s="113"/>
      <c r="BB374" s="113"/>
      <c r="BC374" s="113"/>
      <c r="BD374" s="113"/>
      <c r="BE374" s="113"/>
      <c r="BF374" s="113"/>
      <c r="BG374" s="113"/>
      <c r="BH374" s="113"/>
      <c r="BI374" s="113"/>
      <c r="BJ374" s="113"/>
      <c r="BK374" s="113"/>
      <c r="BL374" s="113"/>
      <c r="BM374" s="113"/>
      <c r="BN374" s="113"/>
      <c r="BO374" s="113"/>
      <c r="BP374" s="113"/>
      <c r="BQ374" s="113"/>
      <c r="BR374" s="113"/>
      <c r="BS374" s="113"/>
      <c r="BT374" s="113"/>
      <c r="BU374" s="113"/>
      <c r="BV374" s="113"/>
      <c r="BW374" s="113"/>
      <c r="BX374" s="113"/>
      <c r="BY374" s="113"/>
      <c r="BZ374" s="113"/>
      <c r="CA374" s="113"/>
      <c r="CB374" s="113"/>
      <c r="CC374" s="113"/>
      <c r="CD374" s="113"/>
      <c r="CE374" s="113"/>
      <c r="CF374" s="113"/>
      <c r="CG374" s="113"/>
      <c r="CH374" s="113"/>
      <c r="CI374" s="113"/>
      <c r="CJ374" s="113"/>
      <c r="CK374" s="113"/>
    </row>
    <row r="375" spans="1:89" s="140" customFormat="1" ht="12" customHeight="1">
      <c r="A375" s="161"/>
      <c r="B375" s="129">
        <v>366</v>
      </c>
      <c r="C375" s="136" t="s">
        <v>241</v>
      </c>
      <c r="D375" s="137"/>
      <c r="E375" s="209"/>
      <c r="F375" s="206"/>
      <c r="G375" s="206"/>
      <c r="H375" s="206"/>
      <c r="I375" s="206"/>
      <c r="J375" s="147">
        <f t="shared" ref="J375:J393" si="93">F375*G375</f>
        <v>0</v>
      </c>
      <c r="K375" s="147">
        <f t="shared" ref="K375:K393" si="94">F375*H375</f>
        <v>0</v>
      </c>
      <c r="L375" s="147">
        <f t="shared" ref="L375:L393" si="95">F375*I375</f>
        <v>0</v>
      </c>
      <c r="M375" s="147">
        <f t="shared" ref="M375:M393" si="96">J375+K375+L375</f>
        <v>0</v>
      </c>
      <c r="O375" s="139"/>
      <c r="P375" s="139"/>
      <c r="Q375" s="139"/>
      <c r="R375" s="139"/>
      <c r="S375" s="139"/>
      <c r="T375" s="139"/>
      <c r="U375" s="139"/>
      <c r="V375" s="139"/>
      <c r="W375" s="139"/>
      <c r="X375" s="139"/>
      <c r="Y375" s="139"/>
      <c r="Z375" s="139"/>
      <c r="AA375" s="139"/>
      <c r="AB375" s="139"/>
      <c r="AC375" s="139"/>
      <c r="AD375" s="139"/>
      <c r="AE375" s="139"/>
      <c r="AF375" s="139"/>
      <c r="AG375" s="139"/>
      <c r="AH375" s="139"/>
      <c r="AI375" s="139"/>
      <c r="AJ375" s="139"/>
      <c r="AK375" s="139"/>
      <c r="AL375" s="139"/>
      <c r="AM375" s="139"/>
      <c r="AN375" s="139"/>
      <c r="AO375" s="139"/>
      <c r="AP375" s="139"/>
      <c r="AQ375" s="139"/>
      <c r="AR375" s="139"/>
      <c r="AS375" s="139"/>
      <c r="AT375" s="139"/>
      <c r="AU375" s="139"/>
      <c r="AV375" s="139"/>
      <c r="AW375" s="139"/>
      <c r="AX375" s="139"/>
      <c r="AY375" s="139"/>
      <c r="AZ375" s="139"/>
      <c r="BA375" s="139"/>
      <c r="BB375" s="139"/>
      <c r="BC375" s="139"/>
      <c r="BD375" s="139"/>
      <c r="BE375" s="139"/>
      <c r="BF375" s="139"/>
      <c r="BG375" s="139"/>
      <c r="BH375" s="139"/>
      <c r="BI375" s="139"/>
      <c r="BJ375" s="139"/>
      <c r="BK375" s="139"/>
      <c r="BL375" s="139"/>
      <c r="BM375" s="139"/>
      <c r="BN375" s="139"/>
      <c r="BO375" s="139"/>
      <c r="BP375" s="139"/>
      <c r="BQ375" s="139"/>
      <c r="BR375" s="139"/>
      <c r="BS375" s="139"/>
      <c r="BT375" s="139"/>
      <c r="BU375" s="139"/>
      <c r="BV375" s="139"/>
      <c r="BW375" s="139"/>
      <c r="BX375" s="139"/>
      <c r="BY375" s="139"/>
      <c r="BZ375" s="139"/>
      <c r="CA375" s="139"/>
      <c r="CB375" s="139"/>
      <c r="CC375" s="139"/>
      <c r="CD375" s="139"/>
      <c r="CE375" s="139"/>
      <c r="CF375" s="139"/>
      <c r="CG375" s="139"/>
      <c r="CH375" s="139"/>
      <c r="CI375" s="139"/>
      <c r="CJ375" s="139"/>
      <c r="CK375" s="139"/>
    </row>
    <row r="376" spans="1:89">
      <c r="B376" s="129">
        <v>367</v>
      </c>
      <c r="C376" s="101" t="s">
        <v>465</v>
      </c>
      <c r="D376" s="123" t="s">
        <v>6</v>
      </c>
      <c r="E376" s="129"/>
      <c r="F376" s="147"/>
      <c r="G376" s="147"/>
      <c r="H376" s="147"/>
      <c r="I376" s="147"/>
      <c r="J376" s="147">
        <f t="shared" si="93"/>
        <v>0</v>
      </c>
      <c r="K376" s="147">
        <f t="shared" si="94"/>
        <v>0</v>
      </c>
      <c r="L376" s="147">
        <f t="shared" si="95"/>
        <v>0</v>
      </c>
      <c r="M376" s="147">
        <f t="shared" si="96"/>
        <v>0</v>
      </c>
      <c r="CD376" s="104"/>
      <c r="CE376" s="104"/>
      <c r="CF376" s="104"/>
      <c r="CG376" s="104"/>
      <c r="CH376" s="104"/>
      <c r="CI376" s="104"/>
      <c r="CJ376" s="104"/>
      <c r="CK376" s="104"/>
    </row>
    <row r="377" spans="1:89">
      <c r="A377" s="160"/>
      <c r="B377" s="129">
        <v>368</v>
      </c>
      <c r="C377" s="152" t="s">
        <v>362</v>
      </c>
      <c r="D377" s="123" t="s">
        <v>6</v>
      </c>
      <c r="E377" s="204"/>
      <c r="F377" s="147">
        <v>10.4</v>
      </c>
      <c r="G377" s="147">
        <v>7.4999999999999997E-2</v>
      </c>
      <c r="H377" s="147"/>
      <c r="I377" s="147">
        <f t="shared" si="92"/>
        <v>7.4999999999999997E-3</v>
      </c>
      <c r="J377" s="147">
        <f t="shared" si="93"/>
        <v>0.78</v>
      </c>
      <c r="K377" s="147">
        <f t="shared" si="94"/>
        <v>0</v>
      </c>
      <c r="L377" s="147">
        <f t="shared" si="95"/>
        <v>7.8E-2</v>
      </c>
      <c r="M377" s="147">
        <f t="shared" si="96"/>
        <v>0.85799999999999998</v>
      </c>
      <c r="CD377" s="104"/>
      <c r="CE377" s="104"/>
      <c r="CF377" s="104"/>
      <c r="CG377" s="104"/>
      <c r="CH377" s="104"/>
      <c r="CI377" s="104"/>
      <c r="CJ377" s="104"/>
      <c r="CK377" s="104"/>
    </row>
    <row r="378" spans="1:89">
      <c r="A378" s="160"/>
      <c r="B378" s="129">
        <v>369</v>
      </c>
      <c r="C378" s="152" t="s">
        <v>406</v>
      </c>
      <c r="D378" s="123" t="s">
        <v>6</v>
      </c>
      <c r="E378" s="204"/>
      <c r="F378" s="147">
        <v>10.4</v>
      </c>
      <c r="G378" s="147">
        <v>0.15</v>
      </c>
      <c r="H378" s="147"/>
      <c r="I378" s="147">
        <f t="shared" si="92"/>
        <v>1.4999999999999999E-2</v>
      </c>
      <c r="J378" s="147">
        <f t="shared" si="93"/>
        <v>1.56</v>
      </c>
      <c r="K378" s="147">
        <f t="shared" si="94"/>
        <v>0</v>
      </c>
      <c r="L378" s="147">
        <f t="shared" si="95"/>
        <v>0.156</v>
      </c>
      <c r="M378" s="147">
        <f t="shared" si="96"/>
        <v>1.716</v>
      </c>
      <c r="CD378" s="104"/>
      <c r="CE378" s="104"/>
      <c r="CF378" s="104"/>
      <c r="CG378" s="104"/>
      <c r="CH378" s="104"/>
      <c r="CI378" s="104"/>
      <c r="CJ378" s="104"/>
      <c r="CK378" s="104"/>
    </row>
    <row r="379" spans="1:89" ht="13.5" customHeight="1">
      <c r="A379" s="160"/>
      <c r="B379" s="129">
        <v>370</v>
      </c>
      <c r="C379" s="153" t="s">
        <v>368</v>
      </c>
      <c r="D379" s="123" t="s">
        <v>6</v>
      </c>
      <c r="E379" s="204"/>
      <c r="F379" s="147">
        <v>10.4</v>
      </c>
      <c r="G379" s="147">
        <v>1.43</v>
      </c>
      <c r="H379" s="147"/>
      <c r="I379" s="147">
        <f t="shared" si="92"/>
        <v>0.14299999999999999</v>
      </c>
      <c r="J379" s="147">
        <f t="shared" si="93"/>
        <v>14.872</v>
      </c>
      <c r="K379" s="147">
        <f t="shared" si="94"/>
        <v>0</v>
      </c>
      <c r="L379" s="147">
        <f t="shared" si="95"/>
        <v>1.4871999999999999</v>
      </c>
      <c r="M379" s="147">
        <f t="shared" si="96"/>
        <v>16.359200000000001</v>
      </c>
      <c r="CD379" s="104"/>
      <c r="CE379" s="104"/>
      <c r="CF379" s="104"/>
      <c r="CG379" s="104"/>
      <c r="CH379" s="104"/>
      <c r="CI379" s="104"/>
      <c r="CJ379" s="104"/>
      <c r="CK379" s="104"/>
    </row>
    <row r="380" spans="1:89" s="112" customFormat="1">
      <c r="A380" s="162"/>
      <c r="B380" s="129">
        <v>371</v>
      </c>
      <c r="C380" s="118" t="s">
        <v>364</v>
      </c>
      <c r="D380" s="124" t="s">
        <v>6</v>
      </c>
      <c r="E380" s="210"/>
      <c r="F380" s="205">
        <f>F377*1.1</f>
        <v>11.440000000000001</v>
      </c>
      <c r="G380" s="205"/>
      <c r="H380" s="205">
        <v>0.1</v>
      </c>
      <c r="I380" s="147">
        <f t="shared" si="92"/>
        <v>3.0000000000000001E-3</v>
      </c>
      <c r="J380" s="147">
        <f t="shared" si="93"/>
        <v>0</v>
      </c>
      <c r="K380" s="147">
        <f t="shared" si="94"/>
        <v>1.1440000000000001</v>
      </c>
      <c r="L380" s="147">
        <f t="shared" si="95"/>
        <v>3.4320000000000003E-2</v>
      </c>
      <c r="M380" s="147">
        <f t="shared" si="96"/>
        <v>1.17832</v>
      </c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13"/>
      <c r="AG380" s="113"/>
      <c r="AH380" s="113"/>
      <c r="AI380" s="113"/>
      <c r="AJ380" s="113"/>
      <c r="AK380" s="113"/>
      <c r="AL380" s="113"/>
      <c r="AM380" s="113"/>
      <c r="AN380" s="113"/>
      <c r="AO380" s="113"/>
      <c r="AP380" s="113"/>
      <c r="AQ380" s="113"/>
      <c r="AR380" s="113"/>
      <c r="AS380" s="113"/>
      <c r="AT380" s="113"/>
      <c r="AU380" s="113"/>
      <c r="AV380" s="113"/>
      <c r="AW380" s="113"/>
      <c r="AX380" s="113"/>
      <c r="AY380" s="113"/>
      <c r="AZ380" s="113"/>
      <c r="BA380" s="113"/>
      <c r="BB380" s="113"/>
      <c r="BC380" s="113"/>
      <c r="BD380" s="113"/>
      <c r="BE380" s="113"/>
      <c r="BF380" s="113"/>
      <c r="BG380" s="113"/>
      <c r="BH380" s="113"/>
      <c r="BI380" s="113"/>
      <c r="BJ380" s="113"/>
      <c r="BK380" s="113"/>
      <c r="BL380" s="113"/>
      <c r="BM380" s="113"/>
      <c r="BN380" s="113"/>
      <c r="BO380" s="113"/>
      <c r="BP380" s="113"/>
      <c r="BQ380" s="113"/>
      <c r="BR380" s="113"/>
      <c r="BS380" s="113"/>
      <c r="BT380" s="113"/>
      <c r="BU380" s="113"/>
      <c r="BV380" s="113"/>
      <c r="BW380" s="113"/>
      <c r="BX380" s="113"/>
      <c r="BY380" s="113"/>
      <c r="BZ380" s="113"/>
      <c r="CA380" s="113"/>
      <c r="CB380" s="113"/>
      <c r="CC380" s="113"/>
      <c r="CD380" s="113"/>
      <c r="CE380" s="113"/>
      <c r="CF380" s="113"/>
      <c r="CG380" s="113"/>
      <c r="CH380" s="113"/>
      <c r="CI380" s="113"/>
      <c r="CJ380" s="113"/>
      <c r="CK380" s="113"/>
    </row>
    <row r="381" spans="1:89" s="112" customFormat="1">
      <c r="A381" s="162"/>
      <c r="B381" s="129">
        <v>372</v>
      </c>
      <c r="C381" s="118" t="s">
        <v>365</v>
      </c>
      <c r="D381" s="124" t="s">
        <v>13</v>
      </c>
      <c r="E381" s="210"/>
      <c r="F381" s="205">
        <f>F378*0.05*1.05</f>
        <v>0.54600000000000004</v>
      </c>
      <c r="G381" s="205"/>
      <c r="H381" s="205">
        <v>27</v>
      </c>
      <c r="I381" s="147">
        <f t="shared" si="92"/>
        <v>0.80999999999999994</v>
      </c>
      <c r="J381" s="147">
        <f t="shared" si="93"/>
        <v>0</v>
      </c>
      <c r="K381" s="147">
        <f t="shared" si="94"/>
        <v>14.742000000000001</v>
      </c>
      <c r="L381" s="147">
        <f t="shared" si="95"/>
        <v>0.44225999999999999</v>
      </c>
      <c r="M381" s="147">
        <f t="shared" si="96"/>
        <v>15.18426</v>
      </c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13"/>
      <c r="AG381" s="113"/>
      <c r="AH381" s="113"/>
      <c r="AI381" s="113"/>
      <c r="AJ381" s="113"/>
      <c r="AK381" s="113"/>
      <c r="AL381" s="113"/>
      <c r="AM381" s="113"/>
      <c r="AN381" s="113"/>
      <c r="AO381" s="113"/>
      <c r="AP381" s="113"/>
      <c r="AQ381" s="113"/>
      <c r="AR381" s="113"/>
      <c r="AS381" s="113"/>
      <c r="AT381" s="113"/>
      <c r="AU381" s="113"/>
      <c r="AV381" s="113"/>
      <c r="AW381" s="113"/>
      <c r="AX381" s="113"/>
      <c r="AY381" s="113"/>
      <c r="AZ381" s="113"/>
      <c r="BA381" s="113"/>
      <c r="BB381" s="113"/>
      <c r="BC381" s="113"/>
      <c r="BD381" s="113"/>
      <c r="BE381" s="113"/>
      <c r="BF381" s="113"/>
      <c r="BG381" s="113"/>
      <c r="BH381" s="113"/>
      <c r="BI381" s="113"/>
      <c r="BJ381" s="113"/>
      <c r="BK381" s="113"/>
      <c r="BL381" s="113"/>
      <c r="BM381" s="113"/>
      <c r="BN381" s="113"/>
      <c r="BO381" s="113"/>
      <c r="BP381" s="113"/>
      <c r="BQ381" s="113"/>
      <c r="BR381" s="113"/>
      <c r="BS381" s="113"/>
      <c r="BT381" s="113"/>
      <c r="BU381" s="113"/>
      <c r="BV381" s="113"/>
      <c r="BW381" s="113"/>
      <c r="BX381" s="113"/>
      <c r="BY381" s="113"/>
      <c r="BZ381" s="113"/>
      <c r="CA381" s="113"/>
      <c r="CB381" s="113"/>
      <c r="CC381" s="113"/>
      <c r="CD381" s="113"/>
      <c r="CE381" s="113"/>
      <c r="CF381" s="113"/>
      <c r="CG381" s="113"/>
      <c r="CH381" s="113"/>
      <c r="CI381" s="113"/>
      <c r="CJ381" s="113"/>
      <c r="CK381" s="113"/>
    </row>
    <row r="382" spans="1:89" s="112" customFormat="1">
      <c r="A382" s="162"/>
      <c r="B382" s="129">
        <v>373</v>
      </c>
      <c r="C382" s="118" t="s">
        <v>366</v>
      </c>
      <c r="D382" s="124" t="s">
        <v>6</v>
      </c>
      <c r="E382" s="210"/>
      <c r="F382" s="205">
        <f>F379</f>
        <v>10.4</v>
      </c>
      <c r="G382" s="205"/>
      <c r="H382" s="147">
        <v>1.34</v>
      </c>
      <c r="I382" s="147">
        <f t="shared" si="92"/>
        <v>4.02E-2</v>
      </c>
      <c r="J382" s="147">
        <f t="shared" si="93"/>
        <v>0</v>
      </c>
      <c r="K382" s="147">
        <f t="shared" si="94"/>
        <v>13.936000000000002</v>
      </c>
      <c r="L382" s="147">
        <f t="shared" si="95"/>
        <v>0.41808000000000001</v>
      </c>
      <c r="M382" s="147">
        <f t="shared" si="96"/>
        <v>14.354080000000002</v>
      </c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13"/>
      <c r="AG382" s="113"/>
      <c r="AH382" s="113"/>
      <c r="AI382" s="113"/>
      <c r="AJ382" s="113"/>
      <c r="AK382" s="113"/>
      <c r="AL382" s="113"/>
      <c r="AM382" s="113"/>
      <c r="AN382" s="113"/>
      <c r="AO382" s="113"/>
      <c r="AP382" s="113"/>
      <c r="AQ382" s="113"/>
      <c r="AR382" s="113"/>
      <c r="AS382" s="113"/>
      <c r="AT382" s="113"/>
      <c r="AU382" s="113"/>
      <c r="AV382" s="113"/>
      <c r="AW382" s="113"/>
      <c r="AX382" s="113"/>
      <c r="AY382" s="113"/>
      <c r="AZ382" s="113"/>
      <c r="BA382" s="113"/>
      <c r="BB382" s="113"/>
      <c r="BC382" s="113"/>
      <c r="BD382" s="113"/>
      <c r="BE382" s="113"/>
      <c r="BF382" s="113"/>
      <c r="BG382" s="113"/>
      <c r="BH382" s="113"/>
      <c r="BI382" s="113"/>
      <c r="BJ382" s="113"/>
      <c r="BK382" s="113"/>
      <c r="BL382" s="113"/>
      <c r="BM382" s="113"/>
      <c r="BN382" s="113"/>
      <c r="BO382" s="113"/>
      <c r="BP382" s="113"/>
      <c r="BQ382" s="113"/>
      <c r="BR382" s="113"/>
      <c r="BS382" s="113"/>
      <c r="BT382" s="113"/>
      <c r="BU382" s="113"/>
      <c r="BV382" s="113"/>
      <c r="BW382" s="113"/>
      <c r="BX382" s="113"/>
      <c r="BY382" s="113"/>
      <c r="BZ382" s="113"/>
      <c r="CA382" s="113"/>
      <c r="CB382" s="113"/>
      <c r="CC382" s="113"/>
      <c r="CD382" s="113"/>
      <c r="CE382" s="113"/>
      <c r="CF382" s="113"/>
      <c r="CG382" s="113"/>
      <c r="CH382" s="113"/>
      <c r="CI382" s="113"/>
      <c r="CJ382" s="113"/>
      <c r="CK382" s="113"/>
    </row>
    <row r="383" spans="1:89" s="112" customFormat="1">
      <c r="A383" s="162"/>
      <c r="B383" s="129">
        <v>374</v>
      </c>
      <c r="C383" s="118" t="s">
        <v>367</v>
      </c>
      <c r="D383" s="124" t="s">
        <v>13</v>
      </c>
      <c r="E383" s="210"/>
      <c r="F383" s="205">
        <f>F379*0.05*1.05</f>
        <v>0.54600000000000004</v>
      </c>
      <c r="G383" s="205"/>
      <c r="H383" s="205">
        <v>25.8</v>
      </c>
      <c r="I383" s="147">
        <f t="shared" si="92"/>
        <v>0.77400000000000002</v>
      </c>
      <c r="J383" s="147">
        <f t="shared" si="93"/>
        <v>0</v>
      </c>
      <c r="K383" s="147">
        <f t="shared" si="94"/>
        <v>14.086800000000002</v>
      </c>
      <c r="L383" s="147">
        <f t="shared" si="95"/>
        <v>0.42260400000000004</v>
      </c>
      <c r="M383" s="147">
        <f t="shared" si="96"/>
        <v>14.509404000000002</v>
      </c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  <c r="AA383" s="113"/>
      <c r="AB383" s="113"/>
      <c r="AC383" s="113"/>
      <c r="AD383" s="113"/>
      <c r="AE383" s="113"/>
      <c r="AF383" s="113"/>
      <c r="AG383" s="113"/>
      <c r="AH383" s="113"/>
      <c r="AI383" s="113"/>
      <c r="AJ383" s="113"/>
      <c r="AK383" s="113"/>
      <c r="AL383" s="113"/>
      <c r="AM383" s="113"/>
      <c r="AN383" s="113"/>
      <c r="AO383" s="113"/>
      <c r="AP383" s="113"/>
      <c r="AQ383" s="113"/>
      <c r="AR383" s="113"/>
      <c r="AS383" s="113"/>
      <c r="AT383" s="113"/>
      <c r="AU383" s="113"/>
      <c r="AV383" s="113"/>
      <c r="AW383" s="113"/>
      <c r="AX383" s="113"/>
      <c r="AY383" s="113"/>
      <c r="AZ383" s="113"/>
      <c r="BA383" s="113"/>
      <c r="BB383" s="113"/>
      <c r="BC383" s="113"/>
      <c r="BD383" s="113"/>
      <c r="BE383" s="113"/>
      <c r="BF383" s="113"/>
      <c r="BG383" s="113"/>
      <c r="BH383" s="113"/>
      <c r="BI383" s="113"/>
      <c r="BJ383" s="113"/>
      <c r="BK383" s="113"/>
      <c r="BL383" s="113"/>
      <c r="BM383" s="113"/>
      <c r="BN383" s="113"/>
      <c r="BO383" s="113"/>
      <c r="BP383" s="113"/>
      <c r="BQ383" s="113"/>
      <c r="BR383" s="113"/>
      <c r="BS383" s="113"/>
      <c r="BT383" s="113"/>
      <c r="BU383" s="113"/>
      <c r="BV383" s="113"/>
      <c r="BW383" s="113"/>
      <c r="BX383" s="113"/>
      <c r="BY383" s="113"/>
      <c r="BZ383" s="113"/>
      <c r="CA383" s="113"/>
      <c r="CB383" s="113"/>
      <c r="CC383" s="113"/>
      <c r="CD383" s="113"/>
      <c r="CE383" s="113"/>
      <c r="CF383" s="113"/>
      <c r="CG383" s="113"/>
      <c r="CH383" s="113"/>
      <c r="CI383" s="113"/>
      <c r="CJ383" s="113"/>
      <c r="CK383" s="113"/>
    </row>
    <row r="384" spans="1:89" ht="12" customHeight="1">
      <c r="A384" s="160"/>
      <c r="B384" s="129">
        <v>375</v>
      </c>
      <c r="C384" s="156" t="s">
        <v>31</v>
      </c>
      <c r="D384" s="123" t="s">
        <v>6</v>
      </c>
      <c r="E384" s="204">
        <v>12.5</v>
      </c>
      <c r="F384" s="147">
        <v>12.5</v>
      </c>
      <c r="G384" s="147">
        <v>2.2000000000000002</v>
      </c>
      <c r="H384" s="147"/>
      <c r="I384" s="147">
        <f t="shared" si="92"/>
        <v>0.22000000000000003</v>
      </c>
      <c r="J384" s="147">
        <f t="shared" si="93"/>
        <v>27.500000000000004</v>
      </c>
      <c r="K384" s="147">
        <f t="shared" si="94"/>
        <v>0</v>
      </c>
      <c r="L384" s="147">
        <f t="shared" si="95"/>
        <v>2.7500000000000004</v>
      </c>
      <c r="M384" s="147">
        <f t="shared" si="96"/>
        <v>30.250000000000004</v>
      </c>
      <c r="CD384" s="104"/>
      <c r="CE384" s="104"/>
      <c r="CF384" s="104"/>
      <c r="CG384" s="104"/>
      <c r="CH384" s="104"/>
      <c r="CI384" s="104"/>
      <c r="CJ384" s="104"/>
      <c r="CK384" s="104"/>
    </row>
    <row r="385" spans="1:89" s="112" customFormat="1" ht="12" customHeight="1">
      <c r="A385" s="162"/>
      <c r="B385" s="129">
        <v>376</v>
      </c>
      <c r="C385" s="106" t="s">
        <v>27</v>
      </c>
      <c r="D385" s="124" t="s">
        <v>13</v>
      </c>
      <c r="E385" s="210">
        <v>1.1000000000000001</v>
      </c>
      <c r="F385" s="205">
        <v>1.1000000000000001</v>
      </c>
      <c r="G385" s="205"/>
      <c r="H385" s="205">
        <v>79</v>
      </c>
      <c r="I385" s="205">
        <f t="shared" si="92"/>
        <v>2.37</v>
      </c>
      <c r="J385" s="147">
        <f t="shared" si="93"/>
        <v>0</v>
      </c>
      <c r="K385" s="147">
        <f t="shared" si="94"/>
        <v>86.9</v>
      </c>
      <c r="L385" s="147">
        <f t="shared" si="95"/>
        <v>2.6070000000000002</v>
      </c>
      <c r="M385" s="147">
        <f t="shared" si="96"/>
        <v>89.507000000000005</v>
      </c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13"/>
      <c r="AG385" s="113"/>
      <c r="AH385" s="113"/>
      <c r="AI385" s="113"/>
      <c r="AJ385" s="113"/>
      <c r="AK385" s="113"/>
      <c r="AL385" s="113"/>
      <c r="AM385" s="113"/>
      <c r="AN385" s="113"/>
      <c r="AO385" s="113"/>
      <c r="AP385" s="113"/>
      <c r="AQ385" s="113"/>
      <c r="AR385" s="113"/>
      <c r="AS385" s="113"/>
      <c r="AT385" s="113"/>
      <c r="AU385" s="113"/>
      <c r="AV385" s="113"/>
      <c r="AW385" s="113"/>
      <c r="AX385" s="113"/>
      <c r="AY385" s="113"/>
      <c r="AZ385" s="113"/>
      <c r="BA385" s="113"/>
      <c r="BB385" s="113"/>
      <c r="BC385" s="113"/>
      <c r="BD385" s="113"/>
      <c r="BE385" s="113"/>
      <c r="BF385" s="113"/>
      <c r="BG385" s="113"/>
      <c r="BH385" s="113"/>
      <c r="BI385" s="113"/>
      <c r="BJ385" s="113"/>
      <c r="BK385" s="113"/>
      <c r="BL385" s="113"/>
      <c r="BM385" s="113"/>
      <c r="BN385" s="113"/>
      <c r="BO385" s="113"/>
      <c r="BP385" s="113"/>
      <c r="BQ385" s="113"/>
      <c r="BR385" s="113"/>
      <c r="BS385" s="113"/>
      <c r="BT385" s="113"/>
      <c r="BU385" s="113"/>
      <c r="BV385" s="113"/>
      <c r="BW385" s="113"/>
      <c r="BX385" s="113"/>
      <c r="BY385" s="113"/>
      <c r="BZ385" s="113"/>
      <c r="CA385" s="113"/>
      <c r="CB385" s="113"/>
      <c r="CC385" s="113"/>
      <c r="CD385" s="113"/>
      <c r="CE385" s="113"/>
      <c r="CF385" s="113"/>
      <c r="CG385" s="113"/>
      <c r="CH385" s="113"/>
      <c r="CI385" s="113"/>
      <c r="CJ385" s="113"/>
      <c r="CK385" s="113"/>
    </row>
    <row r="386" spans="1:89" ht="12" customHeight="1">
      <c r="A386" s="160"/>
      <c r="B386" s="129">
        <v>377</v>
      </c>
      <c r="C386" s="155" t="s">
        <v>133</v>
      </c>
      <c r="D386" s="123" t="s">
        <v>6</v>
      </c>
      <c r="E386" s="204">
        <v>12.5</v>
      </c>
      <c r="F386" s="147">
        <v>12.5</v>
      </c>
      <c r="G386" s="147"/>
      <c r="H386" s="147">
        <v>3.77</v>
      </c>
      <c r="I386" s="147">
        <f t="shared" si="92"/>
        <v>0.11309999999999999</v>
      </c>
      <c r="J386" s="147">
        <f t="shared" si="93"/>
        <v>0</v>
      </c>
      <c r="K386" s="147">
        <f t="shared" si="94"/>
        <v>47.125</v>
      </c>
      <c r="L386" s="147">
        <f t="shared" si="95"/>
        <v>1.4137499999999998</v>
      </c>
      <c r="M386" s="147">
        <f t="shared" si="96"/>
        <v>48.53875</v>
      </c>
      <c r="CD386" s="104"/>
      <c r="CE386" s="104"/>
      <c r="CF386" s="104"/>
      <c r="CG386" s="104"/>
      <c r="CH386" s="104"/>
      <c r="CI386" s="104"/>
      <c r="CJ386" s="104"/>
      <c r="CK386" s="104"/>
    </row>
    <row r="387" spans="1:89" s="112" customFormat="1" ht="12" customHeight="1">
      <c r="A387" s="162"/>
      <c r="B387" s="129">
        <v>378</v>
      </c>
      <c r="C387" s="106" t="s">
        <v>29</v>
      </c>
      <c r="D387" s="124" t="s">
        <v>6</v>
      </c>
      <c r="E387" s="210">
        <v>15</v>
      </c>
      <c r="F387" s="205">
        <v>15</v>
      </c>
      <c r="G387" s="205"/>
      <c r="H387" s="205">
        <v>0.1</v>
      </c>
      <c r="I387" s="205">
        <f t="shared" si="92"/>
        <v>3.0000000000000001E-3</v>
      </c>
      <c r="J387" s="147">
        <f t="shared" si="93"/>
        <v>0</v>
      </c>
      <c r="K387" s="147">
        <f t="shared" si="94"/>
        <v>1.5</v>
      </c>
      <c r="L387" s="147">
        <f t="shared" si="95"/>
        <v>4.4999999999999998E-2</v>
      </c>
      <c r="M387" s="147">
        <f t="shared" si="96"/>
        <v>1.5449999999999999</v>
      </c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  <c r="AA387" s="113"/>
      <c r="AB387" s="113"/>
      <c r="AC387" s="113"/>
      <c r="AD387" s="113"/>
      <c r="AE387" s="113"/>
      <c r="AF387" s="113"/>
      <c r="AG387" s="113"/>
      <c r="AH387" s="113"/>
      <c r="AI387" s="113"/>
      <c r="AJ387" s="113"/>
      <c r="AK387" s="113"/>
      <c r="AL387" s="113"/>
      <c r="AM387" s="113"/>
      <c r="AN387" s="113"/>
      <c r="AO387" s="113"/>
      <c r="AP387" s="113"/>
      <c r="AQ387" s="113"/>
      <c r="AR387" s="113"/>
      <c r="AS387" s="113"/>
      <c r="AT387" s="113"/>
      <c r="AU387" s="113"/>
      <c r="AV387" s="113"/>
      <c r="AW387" s="113"/>
      <c r="AX387" s="113"/>
      <c r="AY387" s="113"/>
      <c r="AZ387" s="113"/>
      <c r="BA387" s="113"/>
      <c r="BB387" s="113"/>
      <c r="BC387" s="113"/>
      <c r="BD387" s="113"/>
      <c r="BE387" s="113"/>
      <c r="BF387" s="113"/>
      <c r="BG387" s="113"/>
      <c r="BH387" s="113"/>
      <c r="BI387" s="113"/>
      <c r="BJ387" s="113"/>
      <c r="BK387" s="113"/>
      <c r="BL387" s="113"/>
      <c r="BM387" s="113"/>
      <c r="BN387" s="113"/>
      <c r="BO387" s="113"/>
      <c r="BP387" s="113"/>
      <c r="BQ387" s="113"/>
      <c r="BR387" s="113"/>
      <c r="BS387" s="113"/>
      <c r="BT387" s="113"/>
      <c r="BU387" s="113"/>
      <c r="BV387" s="113"/>
      <c r="BW387" s="113"/>
      <c r="BX387" s="113"/>
      <c r="BY387" s="113"/>
      <c r="BZ387" s="113"/>
      <c r="CA387" s="113"/>
      <c r="CB387" s="113"/>
      <c r="CC387" s="113"/>
      <c r="CD387" s="113"/>
      <c r="CE387" s="113"/>
      <c r="CF387" s="113"/>
      <c r="CG387" s="113"/>
      <c r="CH387" s="113"/>
      <c r="CI387" s="113"/>
      <c r="CJ387" s="113"/>
      <c r="CK387" s="113"/>
    </row>
    <row r="388" spans="1:89" s="112" customFormat="1" ht="12" customHeight="1">
      <c r="A388" s="162"/>
      <c r="B388" s="129">
        <v>379</v>
      </c>
      <c r="C388" s="106" t="s">
        <v>143</v>
      </c>
      <c r="D388" s="124" t="s">
        <v>11</v>
      </c>
      <c r="E388" s="210">
        <v>13</v>
      </c>
      <c r="F388" s="205">
        <v>13</v>
      </c>
      <c r="G388" s="205"/>
      <c r="H388" s="205">
        <v>0.55000000000000004</v>
      </c>
      <c r="I388" s="205">
        <f t="shared" si="92"/>
        <v>1.6500000000000001E-2</v>
      </c>
      <c r="J388" s="147">
        <f t="shared" si="93"/>
        <v>0</v>
      </c>
      <c r="K388" s="147">
        <f t="shared" si="94"/>
        <v>7.15</v>
      </c>
      <c r="L388" s="147">
        <f t="shared" si="95"/>
        <v>0.21450000000000002</v>
      </c>
      <c r="M388" s="147">
        <f t="shared" si="96"/>
        <v>7.3645000000000005</v>
      </c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  <c r="AA388" s="113"/>
      <c r="AB388" s="113"/>
      <c r="AC388" s="113"/>
      <c r="AD388" s="113"/>
      <c r="AE388" s="113"/>
      <c r="AF388" s="113"/>
      <c r="AG388" s="113"/>
      <c r="AH388" s="113"/>
      <c r="AI388" s="113"/>
      <c r="AJ388" s="113"/>
      <c r="AK388" s="113"/>
      <c r="AL388" s="113"/>
      <c r="AM388" s="113"/>
      <c r="AN388" s="113"/>
      <c r="AO388" s="113"/>
      <c r="AP388" s="113"/>
      <c r="AQ388" s="113"/>
      <c r="AR388" s="113"/>
      <c r="AS388" s="113"/>
      <c r="AT388" s="113"/>
      <c r="AU388" s="113"/>
      <c r="AV388" s="113"/>
      <c r="AW388" s="113"/>
      <c r="AX388" s="113"/>
      <c r="AY388" s="113"/>
      <c r="AZ388" s="113"/>
      <c r="BA388" s="113"/>
      <c r="BB388" s="113"/>
      <c r="BC388" s="113"/>
      <c r="BD388" s="113"/>
      <c r="BE388" s="113"/>
      <c r="BF388" s="113"/>
      <c r="BG388" s="113"/>
      <c r="BH388" s="113"/>
      <c r="BI388" s="113"/>
      <c r="BJ388" s="113"/>
      <c r="BK388" s="113"/>
      <c r="BL388" s="113"/>
      <c r="BM388" s="113"/>
      <c r="BN388" s="113"/>
      <c r="BO388" s="113"/>
      <c r="BP388" s="113"/>
      <c r="BQ388" s="113"/>
      <c r="BR388" s="113"/>
      <c r="BS388" s="113"/>
      <c r="BT388" s="113"/>
      <c r="BU388" s="113"/>
      <c r="BV388" s="113"/>
      <c r="BW388" s="113"/>
      <c r="BX388" s="113"/>
      <c r="BY388" s="113"/>
      <c r="BZ388" s="113"/>
      <c r="CA388" s="113"/>
      <c r="CB388" s="113"/>
      <c r="CC388" s="113"/>
      <c r="CD388" s="113"/>
      <c r="CE388" s="113"/>
      <c r="CF388" s="113"/>
      <c r="CG388" s="113"/>
      <c r="CH388" s="113"/>
      <c r="CI388" s="113"/>
      <c r="CJ388" s="113"/>
      <c r="CK388" s="113"/>
    </row>
    <row r="389" spans="1:89" ht="12" customHeight="1">
      <c r="A389" s="160"/>
      <c r="B389" s="129">
        <v>380</v>
      </c>
      <c r="C389" s="152" t="s">
        <v>139</v>
      </c>
      <c r="D389" s="123" t="s">
        <v>274</v>
      </c>
      <c r="E389" s="204">
        <v>1</v>
      </c>
      <c r="F389" s="147">
        <v>1</v>
      </c>
      <c r="G389" s="147">
        <v>960</v>
      </c>
      <c r="H389" s="147"/>
      <c r="I389" s="147">
        <f t="shared" si="92"/>
        <v>96</v>
      </c>
      <c r="J389" s="147">
        <f t="shared" si="93"/>
        <v>960</v>
      </c>
      <c r="K389" s="147">
        <f t="shared" si="94"/>
        <v>0</v>
      </c>
      <c r="L389" s="147">
        <f t="shared" si="95"/>
        <v>96</v>
      </c>
      <c r="M389" s="147">
        <f t="shared" si="96"/>
        <v>1056</v>
      </c>
      <c r="CD389" s="104"/>
      <c r="CE389" s="104"/>
      <c r="CF389" s="104"/>
      <c r="CG389" s="104"/>
      <c r="CH389" s="104"/>
      <c r="CI389" s="104"/>
      <c r="CJ389" s="104"/>
      <c r="CK389" s="104"/>
    </row>
    <row r="390" spans="1:89" s="112" customFormat="1" ht="12" customHeight="1">
      <c r="A390" s="162"/>
      <c r="B390" s="129">
        <v>381</v>
      </c>
      <c r="C390" s="106" t="s">
        <v>140</v>
      </c>
      <c r="D390" s="124" t="s">
        <v>11</v>
      </c>
      <c r="E390" s="210">
        <v>5</v>
      </c>
      <c r="F390" s="205">
        <v>6</v>
      </c>
      <c r="G390" s="205"/>
      <c r="H390" s="205">
        <v>353</v>
      </c>
      <c r="I390" s="205">
        <f t="shared" si="92"/>
        <v>10.59</v>
      </c>
      <c r="J390" s="147">
        <f t="shared" si="93"/>
        <v>0</v>
      </c>
      <c r="K390" s="147">
        <f t="shared" si="94"/>
        <v>2118</v>
      </c>
      <c r="L390" s="147">
        <f t="shared" si="95"/>
        <v>63.54</v>
      </c>
      <c r="M390" s="147">
        <f t="shared" si="96"/>
        <v>2181.54</v>
      </c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  <c r="AA390" s="113"/>
      <c r="AB390" s="113"/>
      <c r="AC390" s="113"/>
      <c r="AD390" s="113"/>
      <c r="AE390" s="113"/>
      <c r="AF390" s="113"/>
      <c r="AG390" s="113"/>
      <c r="AH390" s="113"/>
      <c r="AI390" s="113"/>
      <c r="AJ390" s="113"/>
      <c r="AK390" s="113"/>
      <c r="AL390" s="113"/>
      <c r="AM390" s="113"/>
      <c r="AN390" s="113"/>
      <c r="AO390" s="113"/>
      <c r="AP390" s="113"/>
      <c r="AQ390" s="113"/>
      <c r="AR390" s="113"/>
      <c r="AS390" s="113"/>
      <c r="AT390" s="113"/>
      <c r="AU390" s="113"/>
      <c r="AV390" s="113"/>
      <c r="AW390" s="113"/>
      <c r="AX390" s="113"/>
      <c r="AY390" s="113"/>
      <c r="AZ390" s="113"/>
      <c r="BA390" s="113"/>
      <c r="BB390" s="113"/>
      <c r="BC390" s="113"/>
      <c r="BD390" s="113"/>
      <c r="BE390" s="113"/>
      <c r="BF390" s="113"/>
      <c r="BG390" s="113"/>
      <c r="BH390" s="113"/>
      <c r="BI390" s="113"/>
      <c r="BJ390" s="113"/>
      <c r="BK390" s="113"/>
      <c r="BL390" s="113"/>
      <c r="BM390" s="113"/>
      <c r="BN390" s="113"/>
      <c r="BO390" s="113"/>
      <c r="BP390" s="113"/>
      <c r="BQ390" s="113"/>
      <c r="BR390" s="113"/>
      <c r="BS390" s="113"/>
      <c r="BT390" s="113"/>
      <c r="BU390" s="113"/>
      <c r="BV390" s="113"/>
      <c r="BW390" s="113"/>
      <c r="BX390" s="113"/>
      <c r="BY390" s="113"/>
      <c r="BZ390" s="113"/>
      <c r="CA390" s="113"/>
      <c r="CB390" s="113"/>
      <c r="CC390" s="113"/>
      <c r="CD390" s="113"/>
      <c r="CE390" s="113"/>
      <c r="CF390" s="113"/>
      <c r="CG390" s="113"/>
      <c r="CH390" s="113"/>
      <c r="CI390" s="113"/>
      <c r="CJ390" s="113"/>
      <c r="CK390" s="113"/>
    </row>
    <row r="391" spans="1:89" s="112" customFormat="1" ht="12" customHeight="1">
      <c r="A391" s="162"/>
      <c r="B391" s="129">
        <v>382</v>
      </c>
      <c r="C391" s="106" t="s">
        <v>141</v>
      </c>
      <c r="D391" s="124" t="s">
        <v>11</v>
      </c>
      <c r="E391" s="210">
        <v>15</v>
      </c>
      <c r="F391" s="205">
        <v>18</v>
      </c>
      <c r="G391" s="205"/>
      <c r="H391" s="205">
        <v>32</v>
      </c>
      <c r="I391" s="205">
        <f t="shared" si="92"/>
        <v>0.96</v>
      </c>
      <c r="J391" s="147">
        <f t="shared" si="93"/>
        <v>0</v>
      </c>
      <c r="K391" s="147">
        <f t="shared" si="94"/>
        <v>576</v>
      </c>
      <c r="L391" s="147">
        <f t="shared" si="95"/>
        <v>17.28</v>
      </c>
      <c r="M391" s="147">
        <f t="shared" si="96"/>
        <v>593.28</v>
      </c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13"/>
      <c r="AG391" s="113"/>
      <c r="AH391" s="113"/>
      <c r="AI391" s="113"/>
      <c r="AJ391" s="113"/>
      <c r="AK391" s="113"/>
      <c r="AL391" s="113"/>
      <c r="AM391" s="113"/>
      <c r="AN391" s="113"/>
      <c r="AO391" s="113"/>
      <c r="AP391" s="113"/>
      <c r="AQ391" s="113"/>
      <c r="AR391" s="113"/>
      <c r="AS391" s="113"/>
      <c r="AT391" s="113"/>
      <c r="AU391" s="113"/>
      <c r="AV391" s="113"/>
      <c r="AW391" s="113"/>
      <c r="AX391" s="113"/>
      <c r="AY391" s="113"/>
      <c r="AZ391" s="113"/>
      <c r="BA391" s="113"/>
      <c r="BB391" s="113"/>
      <c r="BC391" s="113"/>
      <c r="BD391" s="113"/>
      <c r="BE391" s="113"/>
      <c r="BF391" s="113"/>
      <c r="BG391" s="113"/>
      <c r="BH391" s="113"/>
      <c r="BI391" s="113"/>
      <c r="BJ391" s="113"/>
      <c r="BK391" s="113"/>
      <c r="BL391" s="113"/>
      <c r="BM391" s="113"/>
      <c r="BN391" s="113"/>
      <c r="BO391" s="113"/>
      <c r="BP391" s="113"/>
      <c r="BQ391" s="113"/>
      <c r="BR391" s="113"/>
      <c r="BS391" s="113"/>
      <c r="BT391" s="113"/>
      <c r="BU391" s="113"/>
      <c r="BV391" s="113"/>
      <c r="BW391" s="113"/>
      <c r="BX391" s="113"/>
      <c r="BY391" s="113"/>
      <c r="BZ391" s="113"/>
      <c r="CA391" s="113"/>
      <c r="CB391" s="113"/>
      <c r="CC391" s="113"/>
      <c r="CD391" s="113"/>
      <c r="CE391" s="113"/>
      <c r="CF391" s="113"/>
      <c r="CG391" s="113"/>
      <c r="CH391" s="113"/>
      <c r="CI391" s="113"/>
      <c r="CJ391" s="113"/>
      <c r="CK391" s="113"/>
    </row>
    <row r="392" spans="1:89" s="112" customFormat="1" ht="12" customHeight="1">
      <c r="A392" s="162"/>
      <c r="B392" s="129">
        <v>383</v>
      </c>
      <c r="C392" s="106" t="s">
        <v>171</v>
      </c>
      <c r="D392" s="124" t="s">
        <v>114</v>
      </c>
      <c r="E392" s="210">
        <v>18</v>
      </c>
      <c r="F392" s="205">
        <v>18</v>
      </c>
      <c r="G392" s="205"/>
      <c r="H392" s="205">
        <v>4.8</v>
      </c>
      <c r="I392" s="205">
        <f t="shared" si="92"/>
        <v>0.14399999999999999</v>
      </c>
      <c r="J392" s="147">
        <f t="shared" si="93"/>
        <v>0</v>
      </c>
      <c r="K392" s="147">
        <f t="shared" si="94"/>
        <v>86.399999999999991</v>
      </c>
      <c r="L392" s="147">
        <f t="shared" si="95"/>
        <v>2.5919999999999996</v>
      </c>
      <c r="M392" s="147">
        <f t="shared" si="96"/>
        <v>88.99199999999999</v>
      </c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13"/>
      <c r="AG392" s="113"/>
      <c r="AH392" s="113"/>
      <c r="AI392" s="113"/>
      <c r="AJ392" s="113"/>
      <c r="AK392" s="113"/>
      <c r="AL392" s="113"/>
      <c r="AM392" s="113"/>
      <c r="AN392" s="113"/>
      <c r="AO392" s="113"/>
      <c r="AP392" s="113"/>
      <c r="AQ392" s="113"/>
      <c r="AR392" s="113"/>
      <c r="AS392" s="113"/>
      <c r="AT392" s="113"/>
      <c r="AU392" s="113"/>
      <c r="AV392" s="113"/>
      <c r="AW392" s="113"/>
      <c r="AX392" s="113"/>
      <c r="AY392" s="113"/>
      <c r="AZ392" s="113"/>
      <c r="BA392" s="113"/>
      <c r="BB392" s="113"/>
      <c r="BC392" s="113"/>
      <c r="BD392" s="113"/>
      <c r="BE392" s="113"/>
      <c r="BF392" s="113"/>
      <c r="BG392" s="113"/>
      <c r="BH392" s="113"/>
      <c r="BI392" s="113"/>
      <c r="BJ392" s="113"/>
      <c r="BK392" s="113"/>
      <c r="BL392" s="113"/>
      <c r="BM392" s="113"/>
      <c r="BN392" s="113"/>
      <c r="BO392" s="113"/>
      <c r="BP392" s="113"/>
      <c r="BQ392" s="113"/>
      <c r="BR392" s="113"/>
      <c r="BS392" s="113"/>
      <c r="BT392" s="113"/>
      <c r="BU392" s="113"/>
      <c r="BV392" s="113"/>
      <c r="BW392" s="113"/>
      <c r="BX392" s="113"/>
      <c r="BY392" s="113"/>
      <c r="BZ392" s="113"/>
      <c r="CA392" s="113"/>
      <c r="CB392" s="113"/>
      <c r="CC392" s="113"/>
      <c r="CD392" s="113"/>
      <c r="CE392" s="113"/>
      <c r="CF392" s="113"/>
      <c r="CG392" s="113"/>
      <c r="CH392" s="113"/>
      <c r="CI392" s="113"/>
      <c r="CJ392" s="113"/>
      <c r="CK392" s="113"/>
    </row>
    <row r="393" spans="1:89" ht="12" customHeight="1">
      <c r="A393" s="160"/>
      <c r="B393" s="129">
        <v>384</v>
      </c>
      <c r="C393" s="155"/>
      <c r="D393" s="123"/>
      <c r="E393" s="204"/>
      <c r="F393" s="147"/>
      <c r="G393" s="147"/>
      <c r="H393" s="147"/>
      <c r="I393" s="147"/>
      <c r="J393" s="147">
        <f t="shared" si="93"/>
        <v>0</v>
      </c>
      <c r="K393" s="147">
        <f t="shared" si="94"/>
        <v>0</v>
      </c>
      <c r="L393" s="147">
        <f t="shared" si="95"/>
        <v>0</v>
      </c>
      <c r="M393" s="147">
        <f t="shared" si="96"/>
        <v>0</v>
      </c>
      <c r="CD393" s="104"/>
      <c r="CE393" s="104"/>
      <c r="CF393" s="104"/>
      <c r="CG393" s="104"/>
      <c r="CH393" s="104"/>
      <c r="CI393" s="104"/>
      <c r="CJ393" s="104"/>
      <c r="CK393" s="104"/>
    </row>
    <row r="394" spans="1:89" s="107" customFormat="1">
      <c r="A394" s="159"/>
      <c r="B394" s="129">
        <v>385</v>
      </c>
      <c r="C394" s="197" t="s">
        <v>390</v>
      </c>
      <c r="D394" s="122"/>
      <c r="E394" s="207"/>
      <c r="F394" s="208"/>
      <c r="G394" s="208"/>
      <c r="H394" s="208"/>
      <c r="I394" s="208"/>
      <c r="J394" s="147">
        <f t="shared" ref="J394:J405" si="97">F394*G394</f>
        <v>0</v>
      </c>
      <c r="K394" s="147">
        <f t="shared" ref="K394:K405" si="98">F394*H394</f>
        <v>0</v>
      </c>
      <c r="L394" s="147">
        <f t="shared" ref="L394:L405" si="99">F394*I394</f>
        <v>0</v>
      </c>
      <c r="M394" s="147">
        <f t="shared" ref="M394:M405" si="100">J394+K394+L394</f>
        <v>0</v>
      </c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  <c r="AD394" s="108"/>
      <c r="AE394" s="108"/>
      <c r="AF394" s="108"/>
      <c r="AG394" s="108"/>
      <c r="AH394" s="108"/>
      <c r="AI394" s="108"/>
      <c r="AJ394" s="108"/>
      <c r="AK394" s="108"/>
      <c r="AL394" s="108"/>
      <c r="AM394" s="108"/>
      <c r="AN394" s="108"/>
      <c r="AO394" s="108"/>
      <c r="AP394" s="108"/>
      <c r="AQ394" s="108"/>
      <c r="AR394" s="108"/>
      <c r="AS394" s="108"/>
      <c r="AT394" s="108"/>
      <c r="AU394" s="108"/>
      <c r="AV394" s="108"/>
      <c r="AW394" s="108"/>
      <c r="AX394" s="108"/>
      <c r="AY394" s="108"/>
      <c r="AZ394" s="108"/>
      <c r="BA394" s="108"/>
      <c r="BB394" s="108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8"/>
      <c r="BN394" s="108"/>
      <c r="BO394" s="108"/>
      <c r="BP394" s="108"/>
      <c r="BQ394" s="108"/>
      <c r="BR394" s="108"/>
      <c r="BS394" s="108"/>
      <c r="BT394" s="108"/>
      <c r="BU394" s="108"/>
      <c r="BV394" s="108"/>
      <c r="BW394" s="108"/>
      <c r="BX394" s="108"/>
      <c r="BY394" s="108"/>
      <c r="BZ394" s="108"/>
      <c r="CA394" s="108"/>
      <c r="CB394" s="108"/>
      <c r="CC394" s="108"/>
      <c r="CD394" s="108"/>
      <c r="CE394" s="108"/>
      <c r="CF394" s="108"/>
      <c r="CG394" s="108"/>
      <c r="CH394" s="108"/>
      <c r="CI394" s="108"/>
      <c r="CJ394" s="108"/>
      <c r="CK394" s="108"/>
    </row>
    <row r="395" spans="1:89">
      <c r="B395" s="129">
        <v>386</v>
      </c>
      <c r="C395" s="136" t="s">
        <v>361</v>
      </c>
      <c r="D395" s="123"/>
      <c r="E395" s="129"/>
      <c r="F395" s="147"/>
      <c r="G395" s="147"/>
      <c r="H395" s="147"/>
      <c r="I395" s="147"/>
      <c r="J395" s="147">
        <f t="shared" si="97"/>
        <v>0</v>
      </c>
      <c r="K395" s="147">
        <f t="shared" si="98"/>
        <v>0</v>
      </c>
      <c r="L395" s="147">
        <f t="shared" si="99"/>
        <v>0</v>
      </c>
      <c r="M395" s="147">
        <f t="shared" si="100"/>
        <v>0</v>
      </c>
      <c r="CD395" s="104"/>
      <c r="CE395" s="104"/>
      <c r="CF395" s="104"/>
      <c r="CG395" s="104"/>
      <c r="CH395" s="104"/>
      <c r="CI395" s="104"/>
      <c r="CJ395" s="104"/>
      <c r="CK395" s="104"/>
    </row>
    <row r="396" spans="1:89" s="107" customFormat="1">
      <c r="B396" s="129">
        <v>387</v>
      </c>
      <c r="C396" s="182" t="s">
        <v>467</v>
      </c>
      <c r="D396" s="122"/>
      <c r="E396" s="115"/>
      <c r="F396" s="208"/>
      <c r="G396" s="208"/>
      <c r="H396" s="208"/>
      <c r="I396" s="208"/>
      <c r="J396" s="147">
        <f t="shared" si="97"/>
        <v>0</v>
      </c>
      <c r="K396" s="147">
        <f t="shared" si="98"/>
        <v>0</v>
      </c>
      <c r="L396" s="147">
        <f t="shared" si="99"/>
        <v>0</v>
      </c>
      <c r="M396" s="147">
        <f t="shared" si="100"/>
        <v>0</v>
      </c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  <c r="AG396" s="108"/>
      <c r="AH396" s="108"/>
      <c r="AI396" s="108"/>
      <c r="AJ396" s="108"/>
      <c r="AK396" s="108"/>
      <c r="AL396" s="108"/>
      <c r="AM396" s="108"/>
      <c r="AN396" s="108"/>
      <c r="AO396" s="108"/>
      <c r="AP396" s="108"/>
      <c r="AQ396" s="108"/>
      <c r="AR396" s="108"/>
      <c r="AS396" s="108"/>
      <c r="AT396" s="108"/>
      <c r="AU396" s="108"/>
      <c r="AV396" s="108"/>
      <c r="AW396" s="108"/>
      <c r="AX396" s="108"/>
      <c r="AY396" s="108"/>
      <c r="AZ396" s="108"/>
      <c r="BA396" s="108"/>
      <c r="BB396" s="108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8"/>
      <c r="BN396" s="108"/>
      <c r="BO396" s="108"/>
      <c r="BP396" s="108"/>
      <c r="BQ396" s="108"/>
      <c r="BR396" s="108"/>
      <c r="BS396" s="108"/>
      <c r="BT396" s="108"/>
      <c r="BU396" s="108"/>
      <c r="BV396" s="108"/>
      <c r="BW396" s="108"/>
      <c r="BX396" s="108"/>
      <c r="BY396" s="108"/>
      <c r="BZ396" s="108"/>
      <c r="CA396" s="108"/>
      <c r="CB396" s="108"/>
      <c r="CC396" s="108"/>
      <c r="CD396" s="108"/>
      <c r="CE396" s="108"/>
      <c r="CF396" s="108"/>
      <c r="CG396" s="108"/>
      <c r="CH396" s="108"/>
      <c r="CI396" s="108"/>
      <c r="CJ396" s="108"/>
      <c r="CK396" s="108"/>
    </row>
    <row r="397" spans="1:89">
      <c r="B397" s="129">
        <v>388</v>
      </c>
      <c r="C397" s="143" t="s">
        <v>496</v>
      </c>
      <c r="D397" s="123" t="s">
        <v>6</v>
      </c>
      <c r="E397" s="129"/>
      <c r="F397" s="147">
        <f>(((4.4+7.3)*2)+3.2)*2.78</f>
        <v>73.947999999999993</v>
      </c>
      <c r="G397" s="147">
        <v>1.5</v>
      </c>
      <c r="H397" s="147">
        <v>0.64</v>
      </c>
      <c r="I397" s="205">
        <f>(G397*0.1)+(H397*0.03)</f>
        <v>0.16920000000000002</v>
      </c>
      <c r="J397" s="147">
        <f t="shared" si="97"/>
        <v>110.922</v>
      </c>
      <c r="K397" s="147">
        <f t="shared" si="98"/>
        <v>47.326719999999995</v>
      </c>
      <c r="L397" s="147">
        <f t="shared" si="99"/>
        <v>12.5120016</v>
      </c>
      <c r="M397" s="147">
        <f t="shared" si="100"/>
        <v>170.76072159999998</v>
      </c>
      <c r="CD397" s="104"/>
      <c r="CE397" s="104"/>
      <c r="CF397" s="104"/>
      <c r="CG397" s="104"/>
      <c r="CH397" s="104"/>
      <c r="CI397" s="104"/>
      <c r="CJ397" s="104"/>
      <c r="CK397" s="104"/>
    </row>
    <row r="398" spans="1:89">
      <c r="B398" s="129">
        <v>389</v>
      </c>
      <c r="C398" s="143" t="s">
        <v>497</v>
      </c>
      <c r="D398" s="123" t="s">
        <v>6</v>
      </c>
      <c r="E398" s="129"/>
      <c r="F398" s="147">
        <v>34.200000000000003</v>
      </c>
      <c r="G398" s="147">
        <v>1.83</v>
      </c>
      <c r="H398" s="147"/>
      <c r="I398" s="205">
        <f t="shared" ref="I398:I443" si="101">(G398*0.1)+(H398*0.03)</f>
        <v>0.18300000000000002</v>
      </c>
      <c r="J398" s="147">
        <f t="shared" si="97"/>
        <v>62.586000000000006</v>
      </c>
      <c r="K398" s="147">
        <f t="shared" si="98"/>
        <v>0</v>
      </c>
      <c r="L398" s="147">
        <f t="shared" si="99"/>
        <v>6.2586000000000013</v>
      </c>
      <c r="M398" s="147">
        <f t="shared" si="100"/>
        <v>68.844600000000014</v>
      </c>
      <c r="N398" s="130"/>
      <c r="CD398" s="104"/>
      <c r="CE398" s="104"/>
      <c r="CF398" s="104"/>
      <c r="CG398" s="104"/>
      <c r="CH398" s="104"/>
      <c r="CI398" s="104"/>
      <c r="CJ398" s="104"/>
      <c r="CK398" s="104"/>
    </row>
    <row r="399" spans="1:89">
      <c r="B399" s="129">
        <v>390</v>
      </c>
      <c r="C399" s="118" t="s">
        <v>498</v>
      </c>
      <c r="D399" s="123" t="s">
        <v>47</v>
      </c>
      <c r="E399" s="129"/>
      <c r="F399" s="147">
        <v>15.4</v>
      </c>
      <c r="G399" s="147"/>
      <c r="H399" s="147">
        <v>0.86</v>
      </c>
      <c r="I399" s="205">
        <f t="shared" si="101"/>
        <v>2.58E-2</v>
      </c>
      <c r="J399" s="147">
        <f t="shared" si="97"/>
        <v>0</v>
      </c>
      <c r="K399" s="147">
        <f t="shared" si="98"/>
        <v>13.244</v>
      </c>
      <c r="L399" s="147">
        <f t="shared" si="99"/>
        <v>0.39732000000000001</v>
      </c>
      <c r="M399" s="147">
        <f t="shared" si="100"/>
        <v>13.64132</v>
      </c>
      <c r="CD399" s="104"/>
      <c r="CE399" s="104"/>
      <c r="CF399" s="104"/>
      <c r="CG399" s="104"/>
      <c r="CH399" s="104"/>
      <c r="CI399" s="104"/>
      <c r="CJ399" s="104"/>
      <c r="CK399" s="104"/>
    </row>
    <row r="400" spans="1:89">
      <c r="A400" s="160"/>
      <c r="B400" s="129">
        <v>391</v>
      </c>
      <c r="C400" s="173" t="s">
        <v>499</v>
      </c>
      <c r="D400" s="123" t="s">
        <v>114</v>
      </c>
      <c r="E400" s="204">
        <v>252</v>
      </c>
      <c r="F400" s="147">
        <v>33</v>
      </c>
      <c r="G400" s="147">
        <v>1.1000000000000001</v>
      </c>
      <c r="H400" s="147"/>
      <c r="I400" s="205">
        <f t="shared" si="101"/>
        <v>0.11000000000000001</v>
      </c>
      <c r="J400" s="147">
        <f t="shared" si="97"/>
        <v>36.300000000000004</v>
      </c>
      <c r="K400" s="147">
        <f t="shared" si="98"/>
        <v>0</v>
      </c>
      <c r="L400" s="147">
        <f t="shared" si="99"/>
        <v>3.6300000000000003</v>
      </c>
      <c r="M400" s="147">
        <f t="shared" si="100"/>
        <v>39.930000000000007</v>
      </c>
      <c r="CD400" s="104"/>
      <c r="CE400" s="104"/>
      <c r="CF400" s="104"/>
      <c r="CG400" s="104"/>
      <c r="CH400" s="104"/>
      <c r="CI400" s="104"/>
      <c r="CJ400" s="104"/>
      <c r="CK400" s="104"/>
    </row>
    <row r="401" spans="1:89">
      <c r="A401" s="160"/>
      <c r="B401" s="129">
        <v>392</v>
      </c>
      <c r="C401" s="173" t="s">
        <v>501</v>
      </c>
      <c r="D401" s="123" t="s">
        <v>6</v>
      </c>
      <c r="E401" s="204">
        <v>570</v>
      </c>
      <c r="F401" s="147">
        <f>74</f>
        <v>74</v>
      </c>
      <c r="G401" s="147">
        <v>1.85</v>
      </c>
      <c r="H401" s="147"/>
      <c r="I401" s="205">
        <f t="shared" si="101"/>
        <v>0.18500000000000003</v>
      </c>
      <c r="J401" s="147">
        <f t="shared" si="97"/>
        <v>136.9</v>
      </c>
      <c r="K401" s="147">
        <f t="shared" si="98"/>
        <v>0</v>
      </c>
      <c r="L401" s="147">
        <f t="shared" si="99"/>
        <v>13.690000000000001</v>
      </c>
      <c r="M401" s="147">
        <f t="shared" si="100"/>
        <v>150.59</v>
      </c>
      <c r="CD401" s="104"/>
      <c r="CE401" s="104"/>
      <c r="CF401" s="104"/>
      <c r="CG401" s="104"/>
      <c r="CH401" s="104"/>
      <c r="CI401" s="104"/>
      <c r="CJ401" s="104"/>
      <c r="CK401" s="104"/>
    </row>
    <row r="402" spans="1:89">
      <c r="A402" s="160"/>
      <c r="B402" s="129">
        <v>393</v>
      </c>
      <c r="C402" s="173" t="s">
        <v>400</v>
      </c>
      <c r="D402" s="123" t="s">
        <v>6</v>
      </c>
      <c r="E402" s="204">
        <v>249</v>
      </c>
      <c r="F402" s="147">
        <v>34.200000000000003</v>
      </c>
      <c r="G402" s="147">
        <v>2.0499999999999998</v>
      </c>
      <c r="H402" s="147"/>
      <c r="I402" s="205">
        <f t="shared" si="101"/>
        <v>0.20499999999999999</v>
      </c>
      <c r="J402" s="147">
        <f t="shared" si="97"/>
        <v>70.11</v>
      </c>
      <c r="K402" s="147">
        <f t="shared" si="98"/>
        <v>0</v>
      </c>
      <c r="L402" s="147">
        <f t="shared" si="99"/>
        <v>7.0110000000000001</v>
      </c>
      <c r="M402" s="147">
        <f t="shared" si="100"/>
        <v>77.120999999999995</v>
      </c>
      <c r="CD402" s="104"/>
      <c r="CE402" s="104"/>
      <c r="CF402" s="104"/>
      <c r="CG402" s="104"/>
      <c r="CH402" s="104"/>
      <c r="CI402" s="104"/>
      <c r="CJ402" s="104"/>
      <c r="CK402" s="104"/>
    </row>
    <row r="403" spans="1:89" s="112" customFormat="1">
      <c r="B403" s="129">
        <v>394</v>
      </c>
      <c r="C403" s="106" t="s">
        <v>391</v>
      </c>
      <c r="D403" s="124" t="s">
        <v>502</v>
      </c>
      <c r="E403" s="117"/>
      <c r="F403" s="205">
        <v>1</v>
      </c>
      <c r="G403" s="205"/>
      <c r="H403" s="205">
        <v>5.17</v>
      </c>
      <c r="I403" s="205">
        <f t="shared" si="101"/>
        <v>0.15509999999999999</v>
      </c>
      <c r="J403" s="147">
        <f t="shared" si="97"/>
        <v>0</v>
      </c>
      <c r="K403" s="147">
        <f t="shared" si="98"/>
        <v>5.17</v>
      </c>
      <c r="L403" s="147">
        <f t="shared" si="99"/>
        <v>0.15509999999999999</v>
      </c>
      <c r="M403" s="147">
        <f t="shared" si="100"/>
        <v>5.3250999999999999</v>
      </c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  <c r="AA403" s="113"/>
      <c r="AB403" s="113"/>
      <c r="AC403" s="113"/>
      <c r="AD403" s="113"/>
      <c r="AE403" s="113"/>
      <c r="AF403" s="113"/>
      <c r="AG403" s="113"/>
      <c r="AH403" s="113"/>
      <c r="AI403" s="113"/>
      <c r="AJ403" s="113"/>
      <c r="AK403" s="113"/>
      <c r="AL403" s="113"/>
      <c r="AM403" s="113"/>
      <c r="AN403" s="113"/>
      <c r="AO403" s="113"/>
      <c r="AP403" s="113"/>
      <c r="AQ403" s="113"/>
      <c r="AR403" s="113"/>
      <c r="AS403" s="113"/>
      <c r="AT403" s="113"/>
      <c r="AU403" s="113"/>
      <c r="AV403" s="113"/>
      <c r="AW403" s="113"/>
      <c r="AX403" s="113"/>
      <c r="AY403" s="113"/>
      <c r="AZ403" s="113"/>
      <c r="BA403" s="113"/>
      <c r="BB403" s="113"/>
      <c r="BC403" s="113"/>
      <c r="BD403" s="113"/>
      <c r="BE403" s="113"/>
      <c r="BF403" s="113"/>
      <c r="BG403" s="113"/>
      <c r="BH403" s="113"/>
      <c r="BI403" s="113"/>
      <c r="BJ403" s="113"/>
      <c r="BK403" s="113"/>
      <c r="BL403" s="113"/>
      <c r="BM403" s="113"/>
      <c r="BN403" s="113"/>
      <c r="BO403" s="113"/>
      <c r="BP403" s="113"/>
      <c r="BQ403" s="113"/>
      <c r="BR403" s="113"/>
      <c r="BS403" s="113"/>
      <c r="BT403" s="113"/>
      <c r="BU403" s="113"/>
      <c r="BV403" s="113"/>
      <c r="BW403" s="113"/>
      <c r="BX403" s="113"/>
      <c r="BY403" s="113"/>
      <c r="BZ403" s="113"/>
      <c r="CA403" s="113"/>
      <c r="CB403" s="113"/>
      <c r="CC403" s="113"/>
      <c r="CD403" s="113"/>
      <c r="CE403" s="113"/>
      <c r="CF403" s="113"/>
      <c r="CG403" s="113"/>
      <c r="CH403" s="113"/>
      <c r="CI403" s="113"/>
      <c r="CJ403" s="113"/>
      <c r="CK403" s="113"/>
    </row>
    <row r="404" spans="1:89" s="112" customFormat="1">
      <c r="A404" s="162"/>
      <c r="B404" s="129">
        <v>395</v>
      </c>
      <c r="C404" s="106" t="s">
        <v>108</v>
      </c>
      <c r="D404" s="124" t="s">
        <v>47</v>
      </c>
      <c r="E404" s="210">
        <v>200</v>
      </c>
      <c r="F404" s="205">
        <v>50</v>
      </c>
      <c r="G404" s="205"/>
      <c r="H404" s="205">
        <v>0.6</v>
      </c>
      <c r="I404" s="205">
        <f t="shared" si="101"/>
        <v>1.7999999999999999E-2</v>
      </c>
      <c r="J404" s="147">
        <f t="shared" si="97"/>
        <v>0</v>
      </c>
      <c r="K404" s="147">
        <f t="shared" si="98"/>
        <v>30</v>
      </c>
      <c r="L404" s="147">
        <f t="shared" si="99"/>
        <v>0.89999999999999991</v>
      </c>
      <c r="M404" s="147">
        <f t="shared" si="100"/>
        <v>30.9</v>
      </c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  <c r="AA404" s="113"/>
      <c r="AB404" s="113"/>
      <c r="AC404" s="113"/>
      <c r="AD404" s="113"/>
      <c r="AE404" s="113"/>
      <c r="AF404" s="113"/>
      <c r="AG404" s="113"/>
      <c r="AH404" s="113"/>
      <c r="AI404" s="113"/>
      <c r="AJ404" s="113"/>
      <c r="AK404" s="113"/>
      <c r="AL404" s="113"/>
      <c r="AM404" s="113"/>
      <c r="AN404" s="113"/>
      <c r="AO404" s="113"/>
      <c r="AP404" s="113"/>
      <c r="AQ404" s="113"/>
      <c r="AR404" s="113"/>
      <c r="AS404" s="113"/>
      <c r="AT404" s="113"/>
      <c r="AU404" s="113"/>
      <c r="AV404" s="113"/>
      <c r="AW404" s="113"/>
      <c r="AX404" s="113"/>
      <c r="AY404" s="113"/>
      <c r="AZ404" s="113"/>
      <c r="BA404" s="113"/>
      <c r="BB404" s="113"/>
      <c r="BC404" s="113"/>
      <c r="BD404" s="113"/>
      <c r="BE404" s="113"/>
      <c r="BF404" s="113"/>
      <c r="BG404" s="113"/>
      <c r="BH404" s="113"/>
      <c r="BI404" s="113"/>
      <c r="BJ404" s="113"/>
      <c r="BK404" s="113"/>
      <c r="BL404" s="113"/>
      <c r="BM404" s="113"/>
      <c r="BN404" s="113"/>
      <c r="BO404" s="113"/>
      <c r="BP404" s="113"/>
      <c r="BQ404" s="113"/>
      <c r="BR404" s="113"/>
      <c r="BS404" s="113"/>
      <c r="BT404" s="113"/>
      <c r="BU404" s="113"/>
      <c r="BV404" s="113"/>
      <c r="BW404" s="113"/>
      <c r="BX404" s="113"/>
      <c r="BY404" s="113"/>
      <c r="BZ404" s="113"/>
      <c r="CA404" s="113"/>
      <c r="CB404" s="113"/>
      <c r="CC404" s="113"/>
      <c r="CD404" s="113"/>
      <c r="CE404" s="113"/>
      <c r="CF404" s="113"/>
      <c r="CG404" s="113"/>
      <c r="CH404" s="113"/>
      <c r="CI404" s="113"/>
      <c r="CJ404" s="113"/>
      <c r="CK404" s="113"/>
    </row>
    <row r="405" spans="1:89" s="112" customFormat="1">
      <c r="A405" s="162"/>
      <c r="B405" s="129">
        <v>396</v>
      </c>
      <c r="C405" s="106" t="s">
        <v>110</v>
      </c>
      <c r="D405" s="124" t="s">
        <v>47</v>
      </c>
      <c r="E405" s="210">
        <v>382</v>
      </c>
      <c r="F405" s="205">
        <f>(F402+F401)*3*0.125</f>
        <v>40.575000000000003</v>
      </c>
      <c r="G405" s="205"/>
      <c r="H405" s="205">
        <v>1.59</v>
      </c>
      <c r="I405" s="205">
        <f t="shared" si="101"/>
        <v>4.7699999999999999E-2</v>
      </c>
      <c r="J405" s="147">
        <f t="shared" si="97"/>
        <v>0</v>
      </c>
      <c r="K405" s="147">
        <f t="shared" si="98"/>
        <v>64.514250000000004</v>
      </c>
      <c r="L405" s="147">
        <f t="shared" si="99"/>
        <v>1.9354275000000001</v>
      </c>
      <c r="M405" s="147">
        <f t="shared" si="100"/>
        <v>66.449677500000007</v>
      </c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  <c r="AA405" s="113"/>
      <c r="AB405" s="113"/>
      <c r="AC405" s="113"/>
      <c r="AD405" s="113"/>
      <c r="AE405" s="113"/>
      <c r="AF405" s="113"/>
      <c r="AG405" s="113"/>
      <c r="AH405" s="113"/>
      <c r="AI405" s="113"/>
      <c r="AJ405" s="113"/>
      <c r="AK405" s="113"/>
      <c r="AL405" s="113"/>
      <c r="AM405" s="113"/>
      <c r="AN405" s="113"/>
      <c r="AO405" s="113"/>
      <c r="AP405" s="113"/>
      <c r="AQ405" s="113"/>
      <c r="AR405" s="113"/>
      <c r="AS405" s="113"/>
      <c r="AT405" s="113"/>
      <c r="AU405" s="113"/>
      <c r="AV405" s="113"/>
      <c r="AW405" s="113"/>
      <c r="AX405" s="113"/>
      <c r="AY405" s="113"/>
      <c r="AZ405" s="113"/>
      <c r="BA405" s="113"/>
      <c r="BB405" s="113"/>
      <c r="BC405" s="113"/>
      <c r="BD405" s="113"/>
      <c r="BE405" s="113"/>
      <c r="BF405" s="113"/>
      <c r="BG405" s="113"/>
      <c r="BH405" s="113"/>
      <c r="BI405" s="113"/>
      <c r="BJ405" s="113"/>
      <c r="BK405" s="113"/>
      <c r="BL405" s="113"/>
      <c r="BM405" s="113"/>
      <c r="BN405" s="113"/>
      <c r="BO405" s="113"/>
      <c r="BP405" s="113"/>
      <c r="BQ405" s="113"/>
      <c r="BR405" s="113"/>
      <c r="BS405" s="113"/>
      <c r="BT405" s="113"/>
      <c r="BU405" s="113"/>
      <c r="BV405" s="113"/>
      <c r="BW405" s="113"/>
      <c r="BX405" s="113"/>
      <c r="BY405" s="113"/>
      <c r="BZ405" s="113"/>
      <c r="CA405" s="113"/>
      <c r="CB405" s="113"/>
      <c r="CC405" s="113"/>
      <c r="CD405" s="113"/>
      <c r="CE405" s="113"/>
      <c r="CF405" s="113"/>
      <c r="CG405" s="113"/>
      <c r="CH405" s="113"/>
      <c r="CI405" s="113"/>
      <c r="CJ405" s="113"/>
      <c r="CK405" s="113"/>
    </row>
    <row r="406" spans="1:89" s="140" customFormat="1">
      <c r="A406" s="139"/>
      <c r="B406" s="129">
        <v>397</v>
      </c>
      <c r="C406" s="182" t="s">
        <v>468</v>
      </c>
      <c r="D406" s="137"/>
      <c r="E406" s="209"/>
      <c r="F406" s="206"/>
      <c r="G406" s="206"/>
      <c r="H406" s="206"/>
      <c r="I406" s="206"/>
      <c r="J406" s="147">
        <f t="shared" ref="J406:J411" si="102">F406*G406</f>
        <v>0</v>
      </c>
      <c r="K406" s="147">
        <f t="shared" ref="K406:K411" si="103">F406*H406</f>
        <v>0</v>
      </c>
      <c r="L406" s="147">
        <f t="shared" ref="L406:L411" si="104">F406*I406</f>
        <v>0</v>
      </c>
      <c r="M406" s="147">
        <f t="shared" ref="M406:M411" si="105">J406+K406+L406</f>
        <v>0</v>
      </c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/>
      <c r="AF406" s="139"/>
      <c r="AG406" s="139"/>
      <c r="AH406" s="139"/>
      <c r="AI406" s="139"/>
      <c r="AJ406" s="139"/>
      <c r="AK406" s="139"/>
      <c r="AL406" s="139"/>
      <c r="AM406" s="139"/>
      <c r="AN406" s="139"/>
      <c r="AO406" s="139"/>
      <c r="AP406" s="139"/>
      <c r="AQ406" s="139"/>
      <c r="AR406" s="139"/>
      <c r="AS406" s="139"/>
      <c r="AT406" s="139"/>
      <c r="AU406" s="139"/>
      <c r="AV406" s="139"/>
      <c r="AW406" s="139"/>
      <c r="AX406" s="139"/>
      <c r="AY406" s="139"/>
      <c r="AZ406" s="139"/>
      <c r="BA406" s="139"/>
      <c r="BB406" s="139"/>
      <c r="BC406" s="139"/>
      <c r="BD406" s="139"/>
      <c r="BE406" s="139"/>
      <c r="BF406" s="139"/>
      <c r="BG406" s="139"/>
      <c r="BH406" s="139"/>
      <c r="BI406" s="139"/>
      <c r="BJ406" s="139"/>
      <c r="BK406" s="139"/>
      <c r="BL406" s="139"/>
      <c r="BM406" s="139"/>
      <c r="BN406" s="139"/>
      <c r="BO406" s="139"/>
      <c r="BP406" s="139"/>
      <c r="BQ406" s="139"/>
      <c r="BR406" s="139"/>
      <c r="BS406" s="139"/>
      <c r="BT406" s="139"/>
      <c r="BU406" s="139"/>
      <c r="BV406" s="139"/>
      <c r="BW406" s="139"/>
      <c r="BX406" s="139"/>
      <c r="BY406" s="139"/>
      <c r="BZ406" s="139"/>
      <c r="CA406" s="139"/>
      <c r="CB406" s="139"/>
      <c r="CC406" s="139"/>
      <c r="CD406" s="139"/>
      <c r="CE406" s="139"/>
      <c r="CF406" s="139"/>
      <c r="CG406" s="139"/>
      <c r="CH406" s="139"/>
      <c r="CI406" s="139"/>
      <c r="CJ406" s="139"/>
      <c r="CK406" s="139"/>
    </row>
    <row r="407" spans="1:89">
      <c r="B407" s="129">
        <v>398</v>
      </c>
      <c r="C407" s="143" t="s">
        <v>496</v>
      </c>
      <c r="D407" s="123"/>
      <c r="E407" s="129"/>
      <c r="F407" s="147">
        <f>(5.02+1.49)*2.78*2</f>
        <v>36.195599999999999</v>
      </c>
      <c r="G407" s="147">
        <v>1.5</v>
      </c>
      <c r="H407" s="147"/>
      <c r="I407" s="205">
        <f t="shared" si="101"/>
        <v>0.15000000000000002</v>
      </c>
      <c r="J407" s="147">
        <f t="shared" si="102"/>
        <v>54.293399999999998</v>
      </c>
      <c r="K407" s="147">
        <f t="shared" si="103"/>
        <v>0</v>
      </c>
      <c r="L407" s="147">
        <f t="shared" si="104"/>
        <v>5.4293400000000007</v>
      </c>
      <c r="M407" s="147">
        <f t="shared" si="105"/>
        <v>59.722740000000002</v>
      </c>
      <c r="N407" s="130"/>
      <c r="CD407" s="104"/>
      <c r="CE407" s="104"/>
      <c r="CF407" s="104"/>
      <c r="CG407" s="104"/>
      <c r="CH407" s="104"/>
      <c r="CI407" s="104"/>
      <c r="CJ407" s="104"/>
      <c r="CK407" s="104"/>
    </row>
    <row r="408" spans="1:89">
      <c r="B408" s="129">
        <v>399</v>
      </c>
      <c r="C408" s="174" t="s">
        <v>420</v>
      </c>
      <c r="D408" s="123" t="s">
        <v>47</v>
      </c>
      <c r="E408" s="129"/>
      <c r="F408" s="147">
        <f>F407*0.006*1200</f>
        <v>260.60831999999999</v>
      </c>
      <c r="G408" s="147"/>
      <c r="H408" s="147">
        <v>0.25</v>
      </c>
      <c r="I408" s="205">
        <f t="shared" si="101"/>
        <v>7.4999999999999997E-3</v>
      </c>
      <c r="J408" s="147">
        <f t="shared" si="102"/>
        <v>0</v>
      </c>
      <c r="K408" s="147">
        <f t="shared" si="103"/>
        <v>65.152079999999998</v>
      </c>
      <c r="L408" s="147">
        <f t="shared" si="104"/>
        <v>1.9545623999999999</v>
      </c>
      <c r="M408" s="147">
        <f t="shared" si="105"/>
        <v>67.106642399999998</v>
      </c>
      <c r="CD408" s="104"/>
      <c r="CE408" s="104"/>
      <c r="CF408" s="104"/>
      <c r="CG408" s="104"/>
      <c r="CH408" s="104"/>
      <c r="CI408" s="104"/>
      <c r="CJ408" s="104"/>
      <c r="CK408" s="104"/>
    </row>
    <row r="409" spans="1:89">
      <c r="B409" s="129">
        <v>400</v>
      </c>
      <c r="C409" s="143" t="s">
        <v>503</v>
      </c>
      <c r="D409" s="123" t="s">
        <v>6</v>
      </c>
      <c r="E409" s="129"/>
      <c r="F409" s="147">
        <v>7.4</v>
      </c>
      <c r="G409" s="147">
        <v>1.83</v>
      </c>
      <c r="H409" s="147">
        <v>0.09</v>
      </c>
      <c r="I409" s="205">
        <f t="shared" si="101"/>
        <v>0.18570000000000003</v>
      </c>
      <c r="J409" s="147">
        <f t="shared" si="102"/>
        <v>13.542000000000002</v>
      </c>
      <c r="K409" s="147">
        <f t="shared" si="103"/>
        <v>0.66600000000000004</v>
      </c>
      <c r="L409" s="147">
        <f t="shared" si="104"/>
        <v>1.3741800000000004</v>
      </c>
      <c r="M409" s="147">
        <f t="shared" si="105"/>
        <v>15.582180000000003</v>
      </c>
      <c r="N409" s="130"/>
      <c r="CD409" s="104"/>
      <c r="CE409" s="104"/>
      <c r="CF409" s="104"/>
      <c r="CG409" s="104"/>
      <c r="CH409" s="104"/>
      <c r="CI409" s="104"/>
      <c r="CJ409" s="104"/>
      <c r="CK409" s="104"/>
    </row>
    <row r="410" spans="1:89">
      <c r="A410" s="160"/>
      <c r="B410" s="129">
        <v>401</v>
      </c>
      <c r="C410" s="173" t="s">
        <v>499</v>
      </c>
      <c r="D410" s="123" t="s">
        <v>114</v>
      </c>
      <c r="E410" s="204">
        <v>252</v>
      </c>
      <c r="F410" s="147">
        <v>13</v>
      </c>
      <c r="G410" s="147">
        <v>1.1000000000000001</v>
      </c>
      <c r="H410" s="147">
        <v>0.09</v>
      </c>
      <c r="I410" s="205">
        <f t="shared" si="101"/>
        <v>0.11270000000000001</v>
      </c>
      <c r="J410" s="147">
        <f t="shared" si="102"/>
        <v>14.3</v>
      </c>
      <c r="K410" s="147">
        <f t="shared" si="103"/>
        <v>1.17</v>
      </c>
      <c r="L410" s="147">
        <f t="shared" si="104"/>
        <v>1.4651000000000001</v>
      </c>
      <c r="M410" s="147">
        <f t="shared" si="105"/>
        <v>16.935100000000002</v>
      </c>
      <c r="CD410" s="104"/>
      <c r="CE410" s="104"/>
      <c r="CF410" s="104"/>
      <c r="CG410" s="104"/>
      <c r="CH410" s="104"/>
      <c r="CI410" s="104"/>
      <c r="CJ410" s="104"/>
      <c r="CK410" s="104"/>
    </row>
    <row r="411" spans="1:89">
      <c r="A411" s="160"/>
      <c r="B411" s="129">
        <v>402</v>
      </c>
      <c r="C411" s="155" t="s">
        <v>504</v>
      </c>
      <c r="D411" s="123" t="s">
        <v>114</v>
      </c>
      <c r="E411" s="204">
        <v>162</v>
      </c>
      <c r="F411" s="147">
        <v>3</v>
      </c>
      <c r="G411" s="147">
        <v>1.35</v>
      </c>
      <c r="H411" s="147">
        <v>1.59</v>
      </c>
      <c r="I411" s="205">
        <f t="shared" si="101"/>
        <v>0.1827</v>
      </c>
      <c r="J411" s="147">
        <f t="shared" si="102"/>
        <v>4.0500000000000007</v>
      </c>
      <c r="K411" s="147">
        <f t="shared" si="103"/>
        <v>4.7700000000000005</v>
      </c>
      <c r="L411" s="147">
        <f t="shared" si="104"/>
        <v>0.54810000000000003</v>
      </c>
      <c r="M411" s="147">
        <f t="shared" si="105"/>
        <v>9.3681000000000001</v>
      </c>
      <c r="CD411" s="104"/>
      <c r="CE411" s="104"/>
      <c r="CF411" s="104"/>
      <c r="CG411" s="104"/>
      <c r="CH411" s="104"/>
      <c r="CI411" s="104"/>
      <c r="CJ411" s="104"/>
      <c r="CK411" s="104"/>
    </row>
    <row r="412" spans="1:89" s="107" customFormat="1">
      <c r="B412" s="129">
        <v>403</v>
      </c>
      <c r="C412" s="136" t="s">
        <v>369</v>
      </c>
      <c r="D412" s="122"/>
      <c r="E412" s="115"/>
      <c r="F412" s="208"/>
      <c r="G412" s="208"/>
      <c r="H412" s="208"/>
      <c r="I412" s="206"/>
      <c r="J412" s="147">
        <f t="shared" ref="J412:J444" si="106">F412*G412</f>
        <v>0</v>
      </c>
      <c r="K412" s="147">
        <f t="shared" ref="K412:K444" si="107">F412*H412</f>
        <v>0</v>
      </c>
      <c r="L412" s="147">
        <f t="shared" ref="L412:L444" si="108">F412*I412</f>
        <v>0</v>
      </c>
      <c r="M412" s="147">
        <f t="shared" ref="M412:M444" si="109">J412+K412+L412</f>
        <v>0</v>
      </c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  <c r="AI412" s="108"/>
      <c r="AJ412" s="108"/>
      <c r="AK412" s="108"/>
      <c r="AL412" s="108"/>
      <c r="AM412" s="108"/>
      <c r="AN412" s="108"/>
      <c r="AO412" s="108"/>
      <c r="AP412" s="108"/>
      <c r="AQ412" s="108"/>
      <c r="AR412" s="108"/>
      <c r="AS412" s="108"/>
      <c r="AT412" s="108"/>
      <c r="AU412" s="108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  <c r="BR412" s="108"/>
      <c r="BS412" s="108"/>
      <c r="BT412" s="108"/>
      <c r="BU412" s="108"/>
      <c r="BV412" s="108"/>
      <c r="BW412" s="108"/>
      <c r="BX412" s="108"/>
      <c r="BY412" s="108"/>
      <c r="BZ412" s="108"/>
      <c r="CA412" s="108"/>
      <c r="CB412" s="108"/>
      <c r="CC412" s="108"/>
      <c r="CD412" s="108"/>
      <c r="CE412" s="108"/>
      <c r="CF412" s="108"/>
      <c r="CG412" s="108"/>
      <c r="CH412" s="108"/>
      <c r="CI412" s="108"/>
      <c r="CJ412" s="108"/>
      <c r="CK412" s="108"/>
    </row>
    <row r="413" spans="1:89" s="107" customFormat="1">
      <c r="B413" s="129">
        <v>404</v>
      </c>
      <c r="C413" s="182" t="s">
        <v>469</v>
      </c>
      <c r="D413" s="122"/>
      <c r="E413" s="115"/>
      <c r="F413" s="208"/>
      <c r="G413" s="208"/>
      <c r="H413" s="208"/>
      <c r="I413" s="206"/>
      <c r="J413" s="147">
        <f t="shared" si="106"/>
        <v>0</v>
      </c>
      <c r="K413" s="147">
        <f t="shared" si="107"/>
        <v>0</v>
      </c>
      <c r="L413" s="147">
        <f t="shared" si="108"/>
        <v>0</v>
      </c>
      <c r="M413" s="147">
        <f t="shared" si="109"/>
        <v>0</v>
      </c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  <c r="AI413" s="108"/>
      <c r="AJ413" s="108"/>
      <c r="AK413" s="108"/>
      <c r="AL413" s="108"/>
      <c r="AM413" s="108"/>
      <c r="AN413" s="108"/>
      <c r="AO413" s="108"/>
      <c r="AP413" s="108"/>
      <c r="AQ413" s="108"/>
      <c r="AR413" s="108"/>
      <c r="AS413" s="108"/>
      <c r="AT413" s="108"/>
      <c r="AU413" s="108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  <c r="BR413" s="108"/>
      <c r="BS413" s="108"/>
      <c r="BT413" s="108"/>
      <c r="BU413" s="108"/>
      <c r="BV413" s="108"/>
      <c r="BW413" s="108"/>
      <c r="BX413" s="108"/>
      <c r="BY413" s="108"/>
      <c r="BZ413" s="108"/>
      <c r="CA413" s="108"/>
      <c r="CB413" s="108"/>
      <c r="CC413" s="108"/>
      <c r="CD413" s="108"/>
      <c r="CE413" s="108"/>
      <c r="CF413" s="108"/>
      <c r="CG413" s="108"/>
      <c r="CH413" s="108"/>
      <c r="CI413" s="108"/>
      <c r="CJ413" s="108"/>
      <c r="CK413" s="108"/>
    </row>
    <row r="414" spans="1:89">
      <c r="A414" s="160"/>
      <c r="B414" s="129">
        <v>405</v>
      </c>
      <c r="C414" s="143" t="s">
        <v>408</v>
      </c>
      <c r="D414" s="123"/>
      <c r="E414" s="204"/>
      <c r="F414" s="147"/>
      <c r="G414" s="147"/>
      <c r="H414" s="147"/>
      <c r="I414" s="205"/>
      <c r="J414" s="147">
        <f t="shared" si="106"/>
        <v>0</v>
      </c>
      <c r="K414" s="147">
        <f t="shared" si="107"/>
        <v>0</v>
      </c>
      <c r="L414" s="147">
        <f t="shared" si="108"/>
        <v>0</v>
      </c>
      <c r="M414" s="147">
        <f t="shared" si="109"/>
        <v>0</v>
      </c>
      <c r="CD414" s="104"/>
      <c r="CE414" s="104"/>
      <c r="CF414" s="104"/>
      <c r="CG414" s="104"/>
      <c r="CH414" s="104"/>
      <c r="CI414" s="104"/>
      <c r="CJ414" s="104"/>
      <c r="CK414" s="104"/>
    </row>
    <row r="415" spans="1:89">
      <c r="A415" s="160"/>
      <c r="B415" s="129">
        <v>406</v>
      </c>
      <c r="C415" s="157" t="s">
        <v>106</v>
      </c>
      <c r="D415" s="123" t="s">
        <v>6</v>
      </c>
      <c r="E415" s="204">
        <v>570</v>
      </c>
      <c r="F415" s="147">
        <f>F434*2.8</f>
        <v>79.715999999999994</v>
      </c>
      <c r="G415" s="147">
        <v>1.85</v>
      </c>
      <c r="H415" s="147"/>
      <c r="I415" s="205">
        <f t="shared" si="101"/>
        <v>0.18500000000000003</v>
      </c>
      <c r="J415" s="147">
        <f t="shared" si="106"/>
        <v>147.47460000000001</v>
      </c>
      <c r="K415" s="147">
        <f t="shared" si="107"/>
        <v>0</v>
      </c>
      <c r="L415" s="147">
        <f t="shared" si="108"/>
        <v>14.74746</v>
      </c>
      <c r="M415" s="147">
        <f t="shared" si="109"/>
        <v>162.22206</v>
      </c>
      <c r="CD415" s="104"/>
      <c r="CE415" s="104"/>
      <c r="CF415" s="104"/>
      <c r="CG415" s="104"/>
      <c r="CH415" s="104"/>
      <c r="CI415" s="104"/>
      <c r="CJ415" s="104"/>
      <c r="CK415" s="104"/>
    </row>
    <row r="416" spans="1:89">
      <c r="A416" s="160"/>
      <c r="B416" s="129">
        <v>407</v>
      </c>
      <c r="C416" s="157" t="s">
        <v>107</v>
      </c>
      <c r="D416" s="123" t="s">
        <v>6</v>
      </c>
      <c r="E416" s="204">
        <v>249</v>
      </c>
      <c r="F416" s="147">
        <v>48.7</v>
      </c>
      <c r="G416" s="147">
        <v>2.0499999999999998</v>
      </c>
      <c r="H416" s="147"/>
      <c r="I416" s="205">
        <f t="shared" si="101"/>
        <v>0.20499999999999999</v>
      </c>
      <c r="J416" s="147">
        <f t="shared" si="106"/>
        <v>99.834999999999994</v>
      </c>
      <c r="K416" s="147">
        <f t="shared" si="107"/>
        <v>0</v>
      </c>
      <c r="L416" s="147">
        <f t="shared" si="108"/>
        <v>9.9834999999999994</v>
      </c>
      <c r="M416" s="147">
        <f t="shared" si="109"/>
        <v>109.8185</v>
      </c>
      <c r="CD416" s="104"/>
      <c r="CE416" s="104"/>
      <c r="CF416" s="104"/>
      <c r="CG416" s="104"/>
      <c r="CH416" s="104"/>
      <c r="CI416" s="104"/>
      <c r="CJ416" s="104"/>
      <c r="CK416" s="104"/>
    </row>
    <row r="417" spans="1:89" s="112" customFormat="1">
      <c r="B417" s="129">
        <v>408</v>
      </c>
      <c r="C417" s="106" t="s">
        <v>391</v>
      </c>
      <c r="D417" s="124" t="s">
        <v>502</v>
      </c>
      <c r="E417" s="117"/>
      <c r="F417" s="205">
        <v>2</v>
      </c>
      <c r="G417" s="205"/>
      <c r="H417" s="205">
        <v>5.17</v>
      </c>
      <c r="I417" s="205">
        <f t="shared" si="101"/>
        <v>0.15509999999999999</v>
      </c>
      <c r="J417" s="147">
        <f t="shared" si="106"/>
        <v>0</v>
      </c>
      <c r="K417" s="147">
        <f t="shared" si="107"/>
        <v>10.34</v>
      </c>
      <c r="L417" s="147">
        <f t="shared" si="108"/>
        <v>0.31019999999999998</v>
      </c>
      <c r="M417" s="147">
        <f t="shared" si="109"/>
        <v>10.6502</v>
      </c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113"/>
      <c r="AS417" s="113"/>
      <c r="AT417" s="113"/>
      <c r="AU417" s="113"/>
      <c r="AV417" s="113"/>
      <c r="AW417" s="113"/>
      <c r="AX417" s="113"/>
      <c r="AY417" s="113"/>
      <c r="AZ417" s="113"/>
      <c r="BA417" s="113"/>
      <c r="BB417" s="113"/>
      <c r="BC417" s="113"/>
      <c r="BD417" s="113"/>
      <c r="BE417" s="113"/>
      <c r="BF417" s="113"/>
      <c r="BG417" s="113"/>
      <c r="BH417" s="113"/>
      <c r="BI417" s="113"/>
      <c r="BJ417" s="113"/>
      <c r="BK417" s="113"/>
      <c r="BL417" s="113"/>
      <c r="BM417" s="113"/>
      <c r="BN417" s="113"/>
      <c r="BO417" s="113"/>
      <c r="BP417" s="113"/>
      <c r="BQ417" s="113"/>
      <c r="BR417" s="113"/>
      <c r="BS417" s="113"/>
      <c r="BT417" s="113"/>
      <c r="BU417" s="113"/>
      <c r="BV417" s="113"/>
      <c r="BW417" s="113"/>
      <c r="BX417" s="113"/>
      <c r="BY417" s="113"/>
      <c r="BZ417" s="113"/>
      <c r="CA417" s="113"/>
      <c r="CB417" s="113"/>
      <c r="CC417" s="113"/>
      <c r="CD417" s="113"/>
      <c r="CE417" s="113"/>
      <c r="CF417" s="113"/>
      <c r="CG417" s="113"/>
      <c r="CH417" s="113"/>
      <c r="CI417" s="113"/>
      <c r="CJ417" s="113"/>
      <c r="CK417" s="113"/>
    </row>
    <row r="418" spans="1:89" s="112" customFormat="1">
      <c r="A418" s="162"/>
      <c r="B418" s="129">
        <v>409</v>
      </c>
      <c r="C418" s="106" t="s">
        <v>108</v>
      </c>
      <c r="D418" s="124" t="s">
        <v>47</v>
      </c>
      <c r="E418" s="210">
        <v>200</v>
      </c>
      <c r="F418" s="205">
        <f>1.5*(F416+F415)</f>
        <v>192.624</v>
      </c>
      <c r="G418" s="205"/>
      <c r="H418" s="205">
        <v>0.6</v>
      </c>
      <c r="I418" s="205">
        <f t="shared" si="101"/>
        <v>1.7999999999999999E-2</v>
      </c>
      <c r="J418" s="147">
        <f t="shared" si="106"/>
        <v>0</v>
      </c>
      <c r="K418" s="147">
        <f t="shared" si="107"/>
        <v>115.5744</v>
      </c>
      <c r="L418" s="147">
        <f t="shared" si="108"/>
        <v>3.4672319999999996</v>
      </c>
      <c r="M418" s="147">
        <f t="shared" si="109"/>
        <v>119.04163199999999</v>
      </c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  <c r="AG418" s="113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113"/>
      <c r="AS418" s="113"/>
      <c r="AT418" s="113"/>
      <c r="AU418" s="113"/>
      <c r="AV418" s="113"/>
      <c r="AW418" s="113"/>
      <c r="AX418" s="113"/>
      <c r="AY418" s="113"/>
      <c r="AZ418" s="113"/>
      <c r="BA418" s="113"/>
      <c r="BB418" s="113"/>
      <c r="BC418" s="113"/>
      <c r="BD418" s="113"/>
      <c r="BE418" s="113"/>
      <c r="BF418" s="113"/>
      <c r="BG418" s="113"/>
      <c r="BH418" s="113"/>
      <c r="BI418" s="113"/>
      <c r="BJ418" s="113"/>
      <c r="BK418" s="113"/>
      <c r="BL418" s="113"/>
      <c r="BM418" s="113"/>
      <c r="BN418" s="113"/>
      <c r="BO418" s="113"/>
      <c r="BP418" s="113"/>
      <c r="BQ418" s="113"/>
      <c r="BR418" s="113"/>
      <c r="BS418" s="113"/>
      <c r="BT418" s="113"/>
      <c r="BU418" s="113"/>
      <c r="BV418" s="113"/>
      <c r="BW418" s="113"/>
      <c r="BX418" s="113"/>
      <c r="BY418" s="113"/>
      <c r="BZ418" s="113"/>
      <c r="CA418" s="113"/>
      <c r="CB418" s="113"/>
      <c r="CC418" s="113"/>
      <c r="CD418" s="113"/>
      <c r="CE418" s="113"/>
      <c r="CF418" s="113"/>
      <c r="CG418" s="113"/>
      <c r="CH418" s="113"/>
      <c r="CI418" s="113"/>
      <c r="CJ418" s="113"/>
      <c r="CK418" s="113"/>
    </row>
    <row r="419" spans="1:89" s="112" customFormat="1">
      <c r="A419" s="162"/>
      <c r="B419" s="129">
        <v>410</v>
      </c>
      <c r="C419" s="106" t="s">
        <v>110</v>
      </c>
      <c r="D419" s="124" t="s">
        <v>47</v>
      </c>
      <c r="E419" s="210">
        <v>382</v>
      </c>
      <c r="F419" s="205">
        <f>0.375*(F416+F415)</f>
        <v>48.155999999999999</v>
      </c>
      <c r="G419" s="205"/>
      <c r="H419" s="205">
        <v>1.59</v>
      </c>
      <c r="I419" s="205">
        <f t="shared" si="101"/>
        <v>4.7699999999999999E-2</v>
      </c>
      <c r="J419" s="147">
        <f t="shared" si="106"/>
        <v>0</v>
      </c>
      <c r="K419" s="147">
        <f t="shared" si="107"/>
        <v>76.568039999999996</v>
      </c>
      <c r="L419" s="147">
        <f t="shared" si="108"/>
        <v>2.2970411999999998</v>
      </c>
      <c r="M419" s="147">
        <f t="shared" si="109"/>
        <v>78.865081199999992</v>
      </c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113"/>
      <c r="AS419" s="113"/>
      <c r="AT419" s="113"/>
      <c r="AU419" s="113"/>
      <c r="AV419" s="113"/>
      <c r="AW419" s="113"/>
      <c r="AX419" s="113"/>
      <c r="AY419" s="113"/>
      <c r="AZ419" s="113"/>
      <c r="BA419" s="113"/>
      <c r="BB419" s="113"/>
      <c r="BC419" s="113"/>
      <c r="BD419" s="113"/>
      <c r="BE419" s="113"/>
      <c r="BF419" s="113"/>
      <c r="BG419" s="113"/>
      <c r="BH419" s="113"/>
      <c r="BI419" s="113"/>
      <c r="BJ419" s="113"/>
      <c r="BK419" s="113"/>
      <c r="BL419" s="113"/>
      <c r="BM419" s="113"/>
      <c r="BN419" s="113"/>
      <c r="BO419" s="113"/>
      <c r="BP419" s="113"/>
      <c r="BQ419" s="113"/>
      <c r="BR419" s="113"/>
      <c r="BS419" s="113"/>
      <c r="BT419" s="113"/>
      <c r="BU419" s="113"/>
      <c r="BV419" s="113"/>
      <c r="BW419" s="113"/>
      <c r="BX419" s="113"/>
      <c r="BY419" s="113"/>
      <c r="BZ419" s="113"/>
      <c r="CA419" s="113"/>
      <c r="CB419" s="113"/>
      <c r="CC419" s="113"/>
      <c r="CD419" s="113"/>
      <c r="CE419" s="113"/>
      <c r="CF419" s="113"/>
      <c r="CG419" s="113"/>
      <c r="CH419" s="113"/>
      <c r="CI419" s="113"/>
      <c r="CJ419" s="113"/>
      <c r="CK419" s="113"/>
    </row>
    <row r="420" spans="1:89" ht="25.5" customHeight="1">
      <c r="B420" s="129">
        <v>411</v>
      </c>
      <c r="C420" s="146" t="s">
        <v>421</v>
      </c>
      <c r="D420" s="123" t="s">
        <v>6</v>
      </c>
      <c r="E420" s="129"/>
      <c r="F420" s="147">
        <v>48.7</v>
      </c>
      <c r="G420" s="147">
        <v>0.65</v>
      </c>
      <c r="H420" s="147"/>
      <c r="I420" s="205">
        <f t="shared" si="101"/>
        <v>6.5000000000000002E-2</v>
      </c>
      <c r="J420" s="147">
        <f t="shared" si="106"/>
        <v>31.655000000000005</v>
      </c>
      <c r="K420" s="147">
        <f t="shared" si="107"/>
        <v>0</v>
      </c>
      <c r="L420" s="147">
        <f t="shared" si="108"/>
        <v>3.1655000000000002</v>
      </c>
      <c r="M420" s="147">
        <f t="shared" si="109"/>
        <v>34.820500000000003</v>
      </c>
      <c r="N420" s="130"/>
      <c r="CD420" s="104"/>
      <c r="CE420" s="104"/>
      <c r="CF420" s="104"/>
      <c r="CG420" s="104"/>
      <c r="CH420" s="104"/>
      <c r="CI420" s="104"/>
      <c r="CJ420" s="104"/>
      <c r="CK420" s="104"/>
    </row>
    <row r="421" spans="1:89">
      <c r="B421" s="129">
        <v>412</v>
      </c>
      <c r="C421" s="106" t="s">
        <v>392</v>
      </c>
      <c r="D421" s="123" t="s">
        <v>47</v>
      </c>
      <c r="E421" s="129"/>
      <c r="F421" s="147">
        <v>75</v>
      </c>
      <c r="G421" s="147"/>
      <c r="H421" s="147">
        <v>0.6</v>
      </c>
      <c r="I421" s="205">
        <f t="shared" si="101"/>
        <v>1.7999999999999999E-2</v>
      </c>
      <c r="J421" s="147">
        <f t="shared" si="106"/>
        <v>0</v>
      </c>
      <c r="K421" s="147">
        <f t="shared" si="107"/>
        <v>45</v>
      </c>
      <c r="L421" s="147">
        <f t="shared" si="108"/>
        <v>1.3499999999999999</v>
      </c>
      <c r="M421" s="147">
        <f t="shared" si="109"/>
        <v>46.35</v>
      </c>
      <c r="CD421" s="104"/>
      <c r="CE421" s="104"/>
      <c r="CF421" s="104"/>
      <c r="CG421" s="104"/>
      <c r="CH421" s="104"/>
      <c r="CI421" s="104"/>
      <c r="CJ421" s="104"/>
      <c r="CK421" s="104"/>
    </row>
    <row r="422" spans="1:89">
      <c r="B422" s="129">
        <v>413</v>
      </c>
      <c r="C422" s="131" t="s">
        <v>393</v>
      </c>
      <c r="D422" s="123" t="s">
        <v>6</v>
      </c>
      <c r="E422" s="129"/>
      <c r="F422" s="147">
        <v>48.7</v>
      </c>
      <c r="G422" s="147">
        <v>0.55000000000000004</v>
      </c>
      <c r="H422" s="147"/>
      <c r="I422" s="205">
        <f t="shared" si="101"/>
        <v>5.5000000000000007E-2</v>
      </c>
      <c r="J422" s="147">
        <f t="shared" si="106"/>
        <v>26.785000000000004</v>
      </c>
      <c r="K422" s="147">
        <f t="shared" si="107"/>
        <v>0</v>
      </c>
      <c r="L422" s="147">
        <f t="shared" si="108"/>
        <v>2.6785000000000005</v>
      </c>
      <c r="M422" s="147">
        <f t="shared" si="109"/>
        <v>29.463500000000003</v>
      </c>
      <c r="CD422" s="104"/>
      <c r="CE422" s="104"/>
      <c r="CF422" s="104"/>
      <c r="CG422" s="104"/>
      <c r="CH422" s="104"/>
      <c r="CI422" s="104"/>
      <c r="CJ422" s="104"/>
      <c r="CK422" s="104"/>
    </row>
    <row r="423" spans="1:89">
      <c r="B423" s="129">
        <v>414</v>
      </c>
      <c r="C423" s="106" t="s">
        <v>94</v>
      </c>
      <c r="D423" s="123" t="s">
        <v>47</v>
      </c>
      <c r="E423" s="129"/>
      <c r="F423" s="147">
        <f>F422*4</f>
        <v>194.8</v>
      </c>
      <c r="G423" s="147"/>
      <c r="H423" s="147">
        <v>0.45</v>
      </c>
      <c r="I423" s="205">
        <f t="shared" si="101"/>
        <v>1.35E-2</v>
      </c>
      <c r="J423" s="147">
        <f t="shared" si="106"/>
        <v>0</v>
      </c>
      <c r="K423" s="147">
        <f t="shared" si="107"/>
        <v>87.660000000000011</v>
      </c>
      <c r="L423" s="147">
        <f t="shared" si="108"/>
        <v>2.6297999999999999</v>
      </c>
      <c r="M423" s="147">
        <f t="shared" si="109"/>
        <v>90.289800000000014</v>
      </c>
      <c r="CD423" s="104"/>
      <c r="CE423" s="104"/>
      <c r="CF423" s="104"/>
      <c r="CG423" s="104"/>
      <c r="CH423" s="104"/>
      <c r="CI423" s="104"/>
      <c r="CJ423" s="104"/>
      <c r="CK423" s="104"/>
    </row>
    <row r="424" spans="1:89" ht="12.75" customHeight="1">
      <c r="A424" s="160"/>
      <c r="B424" s="129">
        <v>415</v>
      </c>
      <c r="C424" s="146" t="s">
        <v>422</v>
      </c>
      <c r="D424" s="123" t="s">
        <v>6</v>
      </c>
      <c r="E424" s="204">
        <v>155.5</v>
      </c>
      <c r="F424" s="147">
        <f>48.7*0.85</f>
        <v>41.395000000000003</v>
      </c>
      <c r="G424" s="147">
        <v>10.4</v>
      </c>
      <c r="H424" s="147"/>
      <c r="I424" s="205">
        <f t="shared" si="101"/>
        <v>1.04</v>
      </c>
      <c r="J424" s="147">
        <f t="shared" si="106"/>
        <v>430.50800000000004</v>
      </c>
      <c r="K424" s="147">
        <f t="shared" si="107"/>
        <v>0</v>
      </c>
      <c r="L424" s="147">
        <f t="shared" si="108"/>
        <v>43.050800000000002</v>
      </c>
      <c r="M424" s="147">
        <f t="shared" si="109"/>
        <v>473.55880000000002</v>
      </c>
      <c r="CD424" s="104"/>
      <c r="CE424" s="104"/>
      <c r="CF424" s="104"/>
      <c r="CG424" s="104"/>
      <c r="CH424" s="104"/>
      <c r="CI424" s="104"/>
      <c r="CJ424" s="104"/>
      <c r="CK424" s="104"/>
    </row>
    <row r="425" spans="1:89">
      <c r="B425" s="129">
        <v>416</v>
      </c>
      <c r="C425" s="106" t="s">
        <v>396</v>
      </c>
      <c r="D425" s="123" t="s">
        <v>6</v>
      </c>
      <c r="E425" s="129"/>
      <c r="F425" s="147">
        <f>51.14*0.85</f>
        <v>43.469000000000001</v>
      </c>
      <c r="G425" s="147"/>
      <c r="H425" s="147">
        <v>11.8</v>
      </c>
      <c r="I425" s="205">
        <f>(G425*0.1)+(H425*0.03)</f>
        <v>0.35399999999999998</v>
      </c>
      <c r="J425" s="147">
        <f t="shared" si="106"/>
        <v>0</v>
      </c>
      <c r="K425" s="147">
        <f t="shared" si="107"/>
        <v>512.93420000000003</v>
      </c>
      <c r="L425" s="147">
        <f t="shared" si="108"/>
        <v>15.388026</v>
      </c>
      <c r="M425" s="147">
        <f t="shared" si="109"/>
        <v>528.322226</v>
      </c>
      <c r="CD425" s="104"/>
      <c r="CE425" s="104"/>
      <c r="CF425" s="104"/>
      <c r="CG425" s="104"/>
      <c r="CH425" s="104"/>
      <c r="CI425" s="104"/>
      <c r="CJ425" s="104"/>
      <c r="CK425" s="104"/>
    </row>
    <row r="426" spans="1:89">
      <c r="B426" s="129">
        <v>417</v>
      </c>
      <c r="C426" s="106" t="s">
        <v>49</v>
      </c>
      <c r="D426" s="123" t="s">
        <v>47</v>
      </c>
      <c r="E426" s="129"/>
      <c r="F426" s="147">
        <f>25.57*0.85</f>
        <v>21.734500000000001</v>
      </c>
      <c r="G426" s="147"/>
      <c r="H426" s="147">
        <v>0.33</v>
      </c>
      <c r="I426" s="205">
        <f>(G426*0.1)+(H426*0.03)</f>
        <v>9.9000000000000008E-3</v>
      </c>
      <c r="J426" s="147">
        <f t="shared" si="106"/>
        <v>0</v>
      </c>
      <c r="K426" s="147">
        <f t="shared" si="107"/>
        <v>7.1723850000000002</v>
      </c>
      <c r="L426" s="147">
        <f t="shared" si="108"/>
        <v>0.21517155000000002</v>
      </c>
      <c r="M426" s="147">
        <f t="shared" si="109"/>
        <v>7.3875565500000002</v>
      </c>
      <c r="CD426" s="104"/>
      <c r="CE426" s="104"/>
      <c r="CF426" s="104"/>
      <c r="CG426" s="104"/>
      <c r="CH426" s="104"/>
      <c r="CI426" s="104"/>
      <c r="CJ426" s="104"/>
      <c r="CK426" s="104"/>
    </row>
    <row r="427" spans="1:89">
      <c r="B427" s="129">
        <v>418</v>
      </c>
      <c r="C427" s="106" t="s">
        <v>423</v>
      </c>
      <c r="D427" s="123" t="s">
        <v>47</v>
      </c>
      <c r="E427" s="129"/>
      <c r="F427" s="147">
        <f>5.11*0.85</f>
        <v>4.3435000000000006</v>
      </c>
      <c r="G427" s="147"/>
      <c r="H427" s="147">
        <v>0.55000000000000004</v>
      </c>
      <c r="I427" s="205">
        <f>(G427*0.1)+(H427*0.03)</f>
        <v>1.6500000000000001E-2</v>
      </c>
      <c r="J427" s="147">
        <f t="shared" si="106"/>
        <v>0</v>
      </c>
      <c r="K427" s="147">
        <f t="shared" si="107"/>
        <v>2.3889250000000004</v>
      </c>
      <c r="L427" s="147">
        <f t="shared" si="108"/>
        <v>7.1667750000000016E-2</v>
      </c>
      <c r="M427" s="147">
        <f t="shared" si="109"/>
        <v>2.4605927500000004</v>
      </c>
      <c r="CD427" s="104"/>
      <c r="CE427" s="104"/>
      <c r="CF427" s="104"/>
      <c r="CG427" s="104"/>
      <c r="CH427" s="104"/>
      <c r="CI427" s="104"/>
      <c r="CJ427" s="104"/>
      <c r="CK427" s="104"/>
    </row>
    <row r="428" spans="1:89">
      <c r="B428" s="129">
        <v>419</v>
      </c>
      <c r="C428" s="106" t="s">
        <v>424</v>
      </c>
      <c r="D428" s="123" t="s">
        <v>47</v>
      </c>
      <c r="E428" s="129"/>
      <c r="F428" s="147">
        <f>12.18*0.85</f>
        <v>10.353</v>
      </c>
      <c r="G428" s="147"/>
      <c r="H428" s="147">
        <v>4.8</v>
      </c>
      <c r="I428" s="205">
        <f>(G428*0.1)+(H428*0.03)</f>
        <v>0.14399999999999999</v>
      </c>
      <c r="J428" s="147">
        <f t="shared" si="106"/>
        <v>0</v>
      </c>
      <c r="K428" s="147">
        <f t="shared" si="107"/>
        <v>49.694399999999995</v>
      </c>
      <c r="L428" s="147">
        <f t="shared" si="108"/>
        <v>1.4908319999999999</v>
      </c>
      <c r="M428" s="147">
        <f t="shared" si="109"/>
        <v>51.185231999999992</v>
      </c>
      <c r="CD428" s="104"/>
      <c r="CE428" s="104"/>
      <c r="CF428" s="104"/>
      <c r="CG428" s="104"/>
      <c r="CH428" s="104"/>
      <c r="CI428" s="104"/>
      <c r="CJ428" s="104"/>
      <c r="CK428" s="104"/>
    </row>
    <row r="429" spans="1:89" ht="24">
      <c r="B429" s="129">
        <v>420</v>
      </c>
      <c r="C429" s="146" t="s">
        <v>425</v>
      </c>
      <c r="D429" s="123" t="s">
        <v>6</v>
      </c>
      <c r="E429" s="129"/>
      <c r="F429" s="147">
        <f>48.7*0.15</f>
        <v>7.3049999999999997</v>
      </c>
      <c r="G429" s="147">
        <v>5.4</v>
      </c>
      <c r="H429" s="147"/>
      <c r="I429" s="205">
        <f>(G429*0.1)+(H429*0.03)</f>
        <v>0.54</v>
      </c>
      <c r="J429" s="147">
        <f t="shared" si="106"/>
        <v>39.447000000000003</v>
      </c>
      <c r="K429" s="147">
        <f t="shared" si="107"/>
        <v>0</v>
      </c>
      <c r="L429" s="147">
        <f t="shared" si="108"/>
        <v>3.9447000000000001</v>
      </c>
      <c r="M429" s="147">
        <f t="shared" si="109"/>
        <v>43.3917</v>
      </c>
      <c r="N429" s="130"/>
      <c r="CD429" s="104"/>
      <c r="CE429" s="104"/>
      <c r="CF429" s="104"/>
      <c r="CG429" s="104"/>
      <c r="CH429" s="104"/>
      <c r="CI429" s="104"/>
      <c r="CJ429" s="104"/>
      <c r="CK429" s="104"/>
    </row>
    <row r="430" spans="1:89">
      <c r="B430" s="129">
        <v>421</v>
      </c>
      <c r="C430" s="118" t="s">
        <v>333</v>
      </c>
      <c r="D430" s="123"/>
      <c r="E430" s="129"/>
      <c r="F430" s="147">
        <f>F429*4.5</f>
        <v>32.872500000000002</v>
      </c>
      <c r="G430" s="147"/>
      <c r="H430" s="147">
        <v>0.23</v>
      </c>
      <c r="I430" s="205">
        <f t="shared" si="101"/>
        <v>6.8999999999999999E-3</v>
      </c>
      <c r="J430" s="147">
        <f t="shared" si="106"/>
        <v>0</v>
      </c>
      <c r="K430" s="147">
        <f t="shared" si="107"/>
        <v>7.5606750000000007</v>
      </c>
      <c r="L430" s="147">
        <f t="shared" si="108"/>
        <v>0.22682025</v>
      </c>
      <c r="M430" s="147">
        <f t="shared" si="109"/>
        <v>7.787495250000001</v>
      </c>
      <c r="CD430" s="104"/>
      <c r="CE430" s="104"/>
      <c r="CF430" s="104"/>
      <c r="CG430" s="104"/>
      <c r="CH430" s="104"/>
      <c r="CI430" s="104"/>
      <c r="CJ430" s="104"/>
      <c r="CK430" s="104"/>
    </row>
    <row r="431" spans="1:89">
      <c r="B431" s="129">
        <v>422</v>
      </c>
      <c r="C431" s="106" t="s">
        <v>57</v>
      </c>
      <c r="D431" s="123"/>
      <c r="E431" s="129"/>
      <c r="F431" s="147">
        <f>F429*1.05</f>
        <v>7.6702500000000002</v>
      </c>
      <c r="G431" s="147"/>
      <c r="H431" s="147">
        <v>6.5</v>
      </c>
      <c r="I431" s="205">
        <f t="shared" si="101"/>
        <v>0.19500000000000001</v>
      </c>
      <c r="J431" s="147">
        <f t="shared" si="106"/>
        <v>0</v>
      </c>
      <c r="K431" s="147">
        <f t="shared" si="107"/>
        <v>49.856625000000001</v>
      </c>
      <c r="L431" s="147">
        <f t="shared" si="108"/>
        <v>1.4956987500000001</v>
      </c>
      <c r="M431" s="147">
        <f t="shared" si="109"/>
        <v>51.352323750000004</v>
      </c>
      <c r="CD431" s="104"/>
      <c r="CE431" s="104"/>
      <c r="CF431" s="104"/>
      <c r="CG431" s="104"/>
      <c r="CH431" s="104"/>
      <c r="CI431" s="104"/>
      <c r="CJ431" s="104"/>
      <c r="CK431" s="104"/>
    </row>
    <row r="432" spans="1:89">
      <c r="B432" s="129">
        <v>423</v>
      </c>
      <c r="C432" s="106" t="s">
        <v>59</v>
      </c>
      <c r="D432" s="123"/>
      <c r="E432" s="129"/>
      <c r="F432" s="147">
        <f>F429</f>
        <v>7.3049999999999997</v>
      </c>
      <c r="G432" s="147"/>
      <c r="H432" s="147">
        <v>0.5</v>
      </c>
      <c r="I432" s="205">
        <f t="shared" si="101"/>
        <v>1.4999999999999999E-2</v>
      </c>
      <c r="J432" s="147">
        <f t="shared" si="106"/>
        <v>0</v>
      </c>
      <c r="K432" s="147">
        <f t="shared" si="107"/>
        <v>3.6524999999999999</v>
      </c>
      <c r="L432" s="147">
        <f t="shared" si="108"/>
        <v>0.10957499999999999</v>
      </c>
      <c r="M432" s="147">
        <f t="shared" si="109"/>
        <v>3.7620749999999998</v>
      </c>
      <c r="CD432" s="104"/>
      <c r="CE432" s="104"/>
      <c r="CF432" s="104"/>
      <c r="CG432" s="104"/>
      <c r="CH432" s="104"/>
      <c r="CI432" s="104"/>
      <c r="CJ432" s="104"/>
      <c r="CK432" s="104"/>
    </row>
    <row r="433" spans="1:89">
      <c r="A433" s="160"/>
      <c r="B433" s="129">
        <v>424</v>
      </c>
      <c r="C433" s="131" t="s">
        <v>409</v>
      </c>
      <c r="D433" s="123" t="s">
        <v>114</v>
      </c>
      <c r="E433" s="204">
        <v>252</v>
      </c>
      <c r="F433" s="147">
        <v>28.47</v>
      </c>
      <c r="G433" s="147">
        <v>1.1000000000000001</v>
      </c>
      <c r="H433" s="147"/>
      <c r="I433" s="205">
        <f t="shared" si="101"/>
        <v>0.11000000000000001</v>
      </c>
      <c r="J433" s="147">
        <f t="shared" si="106"/>
        <v>31.317</v>
      </c>
      <c r="K433" s="147">
        <f t="shared" si="107"/>
        <v>0</v>
      </c>
      <c r="L433" s="147">
        <f t="shared" si="108"/>
        <v>3.1317000000000004</v>
      </c>
      <c r="M433" s="147">
        <f t="shared" si="109"/>
        <v>34.448700000000002</v>
      </c>
      <c r="CD433" s="104"/>
      <c r="CE433" s="104"/>
      <c r="CF433" s="104"/>
      <c r="CG433" s="104"/>
      <c r="CH433" s="104"/>
      <c r="CI433" s="104"/>
      <c r="CJ433" s="104"/>
      <c r="CK433" s="104"/>
    </row>
    <row r="434" spans="1:89">
      <c r="A434" s="160"/>
      <c r="B434" s="129">
        <v>425</v>
      </c>
      <c r="C434" s="155" t="s">
        <v>121</v>
      </c>
      <c r="D434" s="123" t="s">
        <v>114</v>
      </c>
      <c r="E434" s="204">
        <v>162</v>
      </c>
      <c r="F434" s="147">
        <f>(2.06+1.45+1.25+0.25+3.25+4.1+4.45)*2-(4.45-0.3+1)</f>
        <v>28.47</v>
      </c>
      <c r="G434" s="147"/>
      <c r="H434" s="147">
        <v>1.85</v>
      </c>
      <c r="I434" s="205">
        <f t="shared" si="101"/>
        <v>5.5500000000000001E-2</v>
      </c>
      <c r="J434" s="147">
        <f t="shared" si="106"/>
        <v>0</v>
      </c>
      <c r="K434" s="147">
        <f t="shared" si="107"/>
        <v>52.669499999999999</v>
      </c>
      <c r="L434" s="147">
        <f t="shared" si="108"/>
        <v>1.580085</v>
      </c>
      <c r="M434" s="147">
        <f t="shared" si="109"/>
        <v>54.249584999999996</v>
      </c>
      <c r="CD434" s="104"/>
      <c r="CE434" s="104"/>
      <c r="CF434" s="104"/>
      <c r="CG434" s="104"/>
      <c r="CH434" s="104"/>
      <c r="CI434" s="104"/>
      <c r="CJ434" s="104"/>
      <c r="CK434" s="104"/>
    </row>
    <row r="435" spans="1:89">
      <c r="A435" s="160"/>
      <c r="B435" s="129">
        <v>426</v>
      </c>
      <c r="C435" s="155" t="s">
        <v>39</v>
      </c>
      <c r="D435" s="123" t="s">
        <v>83</v>
      </c>
      <c r="E435" s="204">
        <v>252</v>
      </c>
      <c r="F435" s="147">
        <v>57</v>
      </c>
      <c r="G435" s="147"/>
      <c r="H435" s="147">
        <v>0.44</v>
      </c>
      <c r="I435" s="205">
        <f t="shared" si="101"/>
        <v>1.32E-2</v>
      </c>
      <c r="J435" s="147">
        <f t="shared" si="106"/>
        <v>0</v>
      </c>
      <c r="K435" s="147">
        <f t="shared" si="107"/>
        <v>25.080000000000002</v>
      </c>
      <c r="L435" s="147">
        <f t="shared" si="108"/>
        <v>0.75239999999999996</v>
      </c>
      <c r="M435" s="147">
        <f t="shared" si="109"/>
        <v>25.832400000000003</v>
      </c>
      <c r="CD435" s="104"/>
      <c r="CE435" s="104"/>
      <c r="CF435" s="104"/>
      <c r="CG435" s="104"/>
      <c r="CH435" s="104"/>
      <c r="CI435" s="104"/>
      <c r="CJ435" s="104"/>
      <c r="CK435" s="104"/>
    </row>
    <row r="436" spans="1:89">
      <c r="A436" s="160"/>
      <c r="B436" s="129">
        <v>427</v>
      </c>
      <c r="C436" s="155" t="s">
        <v>119</v>
      </c>
      <c r="D436" s="123" t="s">
        <v>47</v>
      </c>
      <c r="E436" s="204">
        <v>20</v>
      </c>
      <c r="F436" s="147">
        <f>F433*0.07*0.25</f>
        <v>0.49822500000000003</v>
      </c>
      <c r="G436" s="147"/>
      <c r="H436" s="147">
        <v>4.87</v>
      </c>
      <c r="I436" s="205">
        <f t="shared" si="101"/>
        <v>0.14610000000000001</v>
      </c>
      <c r="J436" s="147">
        <f t="shared" si="106"/>
        <v>0</v>
      </c>
      <c r="K436" s="147">
        <f t="shared" si="107"/>
        <v>2.4263557500000004</v>
      </c>
      <c r="L436" s="147">
        <f t="shared" si="108"/>
        <v>7.2790672500000014E-2</v>
      </c>
      <c r="M436" s="147">
        <f t="shared" si="109"/>
        <v>2.4991464225000004</v>
      </c>
      <c r="CD436" s="104"/>
      <c r="CE436" s="104"/>
      <c r="CF436" s="104"/>
      <c r="CG436" s="104"/>
      <c r="CH436" s="104"/>
      <c r="CI436" s="104"/>
      <c r="CJ436" s="104"/>
      <c r="CK436" s="104"/>
    </row>
    <row r="437" spans="1:89">
      <c r="A437" s="160"/>
      <c r="B437" s="129">
        <v>428</v>
      </c>
      <c r="C437" s="131" t="s">
        <v>394</v>
      </c>
      <c r="D437" s="123" t="s">
        <v>11</v>
      </c>
      <c r="E437" s="204">
        <v>1</v>
      </c>
      <c r="F437" s="147">
        <v>1</v>
      </c>
      <c r="G437" s="147">
        <v>310</v>
      </c>
      <c r="H437" s="147"/>
      <c r="I437" s="205">
        <f t="shared" si="101"/>
        <v>31</v>
      </c>
      <c r="J437" s="147">
        <f t="shared" si="106"/>
        <v>310</v>
      </c>
      <c r="K437" s="147">
        <f t="shared" si="107"/>
        <v>0</v>
      </c>
      <c r="L437" s="147">
        <f t="shared" si="108"/>
        <v>31</v>
      </c>
      <c r="M437" s="147">
        <f t="shared" si="109"/>
        <v>341</v>
      </c>
      <c r="CD437" s="104"/>
      <c r="CE437" s="104"/>
      <c r="CF437" s="104"/>
      <c r="CG437" s="104"/>
      <c r="CH437" s="104"/>
      <c r="CI437" s="104"/>
      <c r="CJ437" s="104"/>
      <c r="CK437" s="104"/>
    </row>
    <row r="438" spans="1:89" s="112" customFormat="1">
      <c r="A438" s="162"/>
      <c r="B438" s="129">
        <v>429</v>
      </c>
      <c r="C438" s="106" t="s">
        <v>64</v>
      </c>
      <c r="D438" s="124" t="s">
        <v>11</v>
      </c>
      <c r="E438" s="210">
        <v>80</v>
      </c>
      <c r="F438" s="205">
        <v>80</v>
      </c>
      <c r="G438" s="205"/>
      <c r="H438" s="205">
        <v>0.32</v>
      </c>
      <c r="I438" s="205">
        <f t="shared" si="101"/>
        <v>9.5999999999999992E-3</v>
      </c>
      <c r="J438" s="147">
        <f t="shared" si="106"/>
        <v>0</v>
      </c>
      <c r="K438" s="147">
        <f t="shared" si="107"/>
        <v>25.6</v>
      </c>
      <c r="L438" s="147">
        <f t="shared" si="108"/>
        <v>0.7679999999999999</v>
      </c>
      <c r="M438" s="147">
        <f t="shared" si="109"/>
        <v>26.368000000000002</v>
      </c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3"/>
      <c r="AG438" s="113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113"/>
      <c r="AS438" s="113"/>
      <c r="AT438" s="113"/>
      <c r="AU438" s="113"/>
      <c r="AV438" s="113"/>
      <c r="AW438" s="113"/>
      <c r="AX438" s="113"/>
      <c r="AY438" s="113"/>
      <c r="AZ438" s="113"/>
      <c r="BA438" s="113"/>
      <c r="BB438" s="113"/>
      <c r="BC438" s="113"/>
      <c r="BD438" s="113"/>
      <c r="BE438" s="113"/>
      <c r="BF438" s="113"/>
      <c r="BG438" s="113"/>
      <c r="BH438" s="113"/>
      <c r="BI438" s="113"/>
      <c r="BJ438" s="113"/>
      <c r="BK438" s="113"/>
      <c r="BL438" s="113"/>
      <c r="BM438" s="113"/>
      <c r="BN438" s="113"/>
      <c r="BO438" s="113"/>
      <c r="BP438" s="113"/>
      <c r="BQ438" s="113"/>
      <c r="BR438" s="113"/>
      <c r="BS438" s="113"/>
      <c r="BT438" s="113"/>
      <c r="BU438" s="113"/>
      <c r="BV438" s="113"/>
      <c r="BW438" s="113"/>
      <c r="BX438" s="113"/>
      <c r="BY438" s="113"/>
      <c r="BZ438" s="113"/>
      <c r="CA438" s="113"/>
      <c r="CB438" s="113"/>
      <c r="CC438" s="113"/>
      <c r="CD438" s="113"/>
      <c r="CE438" s="113"/>
      <c r="CF438" s="113"/>
      <c r="CG438" s="113"/>
      <c r="CH438" s="113"/>
      <c r="CI438" s="113"/>
      <c r="CJ438" s="113"/>
      <c r="CK438" s="113"/>
    </row>
    <row r="439" spans="1:89" s="112" customFormat="1">
      <c r="A439" s="162"/>
      <c r="B439" s="129">
        <v>430</v>
      </c>
      <c r="C439" s="106" t="s">
        <v>186</v>
      </c>
      <c r="D439" s="124" t="s">
        <v>11</v>
      </c>
      <c r="E439" s="210">
        <v>250</v>
      </c>
      <c r="F439" s="205">
        <v>250</v>
      </c>
      <c r="G439" s="205"/>
      <c r="H439" s="205">
        <v>0.11</v>
      </c>
      <c r="I439" s="205">
        <f t="shared" si="101"/>
        <v>3.3E-3</v>
      </c>
      <c r="J439" s="147">
        <f t="shared" si="106"/>
        <v>0</v>
      </c>
      <c r="K439" s="147">
        <f t="shared" si="107"/>
        <v>27.5</v>
      </c>
      <c r="L439" s="147">
        <f t="shared" si="108"/>
        <v>0.82499999999999996</v>
      </c>
      <c r="M439" s="147">
        <f t="shared" si="109"/>
        <v>28.324999999999999</v>
      </c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113"/>
      <c r="AS439" s="113"/>
      <c r="AT439" s="113"/>
      <c r="AU439" s="113"/>
      <c r="AV439" s="113"/>
      <c r="AW439" s="113"/>
      <c r="AX439" s="113"/>
      <c r="AY439" s="113"/>
      <c r="AZ439" s="113"/>
      <c r="BA439" s="113"/>
      <c r="BB439" s="113"/>
      <c r="BC439" s="113"/>
      <c r="BD439" s="113"/>
      <c r="BE439" s="113"/>
      <c r="BF439" s="113"/>
      <c r="BG439" s="113"/>
      <c r="BH439" s="113"/>
      <c r="BI439" s="113"/>
      <c r="BJ439" s="113"/>
      <c r="BK439" s="113"/>
      <c r="BL439" s="113"/>
      <c r="BM439" s="113"/>
      <c r="BN439" s="113"/>
      <c r="BO439" s="113"/>
      <c r="BP439" s="113"/>
      <c r="BQ439" s="113"/>
      <c r="BR439" s="113"/>
      <c r="BS439" s="113"/>
      <c r="BT439" s="113"/>
      <c r="BU439" s="113"/>
      <c r="BV439" s="113"/>
      <c r="BW439" s="113"/>
      <c r="BX439" s="113"/>
      <c r="BY439" s="113"/>
      <c r="BZ439" s="113"/>
      <c r="CA439" s="113"/>
      <c r="CB439" s="113"/>
      <c r="CC439" s="113"/>
      <c r="CD439" s="113"/>
      <c r="CE439" s="113"/>
      <c r="CF439" s="113"/>
      <c r="CG439" s="113"/>
      <c r="CH439" s="113"/>
      <c r="CI439" s="113"/>
      <c r="CJ439" s="113"/>
      <c r="CK439" s="113"/>
    </row>
    <row r="440" spans="1:89" s="112" customFormat="1">
      <c r="A440" s="162"/>
      <c r="B440" s="129">
        <v>431</v>
      </c>
      <c r="C440" s="106" t="s">
        <v>188</v>
      </c>
      <c r="D440" s="124" t="s">
        <v>189</v>
      </c>
      <c r="E440" s="210">
        <v>1</v>
      </c>
      <c r="F440" s="205">
        <v>1</v>
      </c>
      <c r="G440" s="205"/>
      <c r="H440" s="205">
        <v>46</v>
      </c>
      <c r="I440" s="205">
        <f t="shared" si="101"/>
        <v>1.38</v>
      </c>
      <c r="J440" s="147">
        <f t="shared" si="106"/>
        <v>0</v>
      </c>
      <c r="K440" s="147">
        <f t="shared" si="107"/>
        <v>46</v>
      </c>
      <c r="L440" s="147">
        <f t="shared" si="108"/>
        <v>1.38</v>
      </c>
      <c r="M440" s="147">
        <f t="shared" si="109"/>
        <v>47.38</v>
      </c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  <c r="AA440" s="113"/>
      <c r="AB440" s="113"/>
      <c r="AC440" s="113"/>
      <c r="AD440" s="113"/>
      <c r="AE440" s="113"/>
      <c r="AF440" s="113"/>
      <c r="AG440" s="113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113"/>
      <c r="AS440" s="113"/>
      <c r="AT440" s="113"/>
      <c r="AU440" s="113"/>
      <c r="AV440" s="113"/>
      <c r="AW440" s="113"/>
      <c r="AX440" s="113"/>
      <c r="AY440" s="113"/>
      <c r="AZ440" s="113"/>
      <c r="BA440" s="113"/>
      <c r="BB440" s="113"/>
      <c r="BC440" s="113"/>
      <c r="BD440" s="113"/>
      <c r="BE440" s="113"/>
      <c r="BF440" s="113"/>
      <c r="BG440" s="113"/>
      <c r="BH440" s="113"/>
      <c r="BI440" s="113"/>
      <c r="BJ440" s="113"/>
      <c r="BK440" s="113"/>
      <c r="BL440" s="113"/>
      <c r="BM440" s="113"/>
      <c r="BN440" s="113"/>
      <c r="BO440" s="113"/>
      <c r="BP440" s="113"/>
      <c r="BQ440" s="113"/>
      <c r="BR440" s="113"/>
      <c r="BS440" s="113"/>
      <c r="BT440" s="113"/>
      <c r="BU440" s="113"/>
      <c r="BV440" s="113"/>
      <c r="BW440" s="113"/>
      <c r="BX440" s="113"/>
      <c r="BY440" s="113"/>
      <c r="BZ440" s="113"/>
      <c r="CA440" s="113"/>
      <c r="CB440" s="113"/>
      <c r="CC440" s="113"/>
      <c r="CD440" s="113"/>
      <c r="CE440" s="113"/>
      <c r="CF440" s="113"/>
      <c r="CG440" s="113"/>
      <c r="CH440" s="113"/>
      <c r="CI440" s="113"/>
      <c r="CJ440" s="113"/>
      <c r="CK440" s="113"/>
    </row>
    <row r="441" spans="1:89" s="112" customFormat="1">
      <c r="A441" s="162"/>
      <c r="B441" s="129">
        <v>432</v>
      </c>
      <c r="C441" s="106" t="s">
        <v>190</v>
      </c>
      <c r="D441" s="124" t="s">
        <v>191</v>
      </c>
      <c r="E441" s="210">
        <v>6</v>
      </c>
      <c r="F441" s="205">
        <v>6</v>
      </c>
      <c r="G441" s="205"/>
      <c r="H441" s="205">
        <v>4.4800000000000004</v>
      </c>
      <c r="I441" s="205">
        <f t="shared" si="101"/>
        <v>0.13440000000000002</v>
      </c>
      <c r="J441" s="147">
        <f t="shared" si="106"/>
        <v>0</v>
      </c>
      <c r="K441" s="147">
        <f t="shared" si="107"/>
        <v>26.880000000000003</v>
      </c>
      <c r="L441" s="147">
        <f t="shared" si="108"/>
        <v>0.80640000000000012</v>
      </c>
      <c r="M441" s="147">
        <f t="shared" si="109"/>
        <v>27.686400000000003</v>
      </c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113"/>
      <c r="AS441" s="113"/>
      <c r="AT441" s="113"/>
      <c r="AU441" s="113"/>
      <c r="AV441" s="113"/>
      <c r="AW441" s="113"/>
      <c r="AX441" s="113"/>
      <c r="AY441" s="113"/>
      <c r="AZ441" s="113"/>
      <c r="BA441" s="113"/>
      <c r="BB441" s="113"/>
      <c r="BC441" s="113"/>
      <c r="BD441" s="113"/>
      <c r="BE441" s="113"/>
      <c r="BF441" s="113"/>
      <c r="BG441" s="113"/>
      <c r="BH441" s="113"/>
      <c r="BI441" s="113"/>
      <c r="BJ441" s="113"/>
      <c r="BK441" s="113"/>
      <c r="BL441" s="113"/>
      <c r="BM441" s="113"/>
      <c r="BN441" s="113"/>
      <c r="BO441" s="113"/>
      <c r="BP441" s="113"/>
      <c r="BQ441" s="113"/>
      <c r="BR441" s="113"/>
      <c r="BS441" s="113"/>
      <c r="BT441" s="113"/>
      <c r="BU441" s="113"/>
      <c r="BV441" s="113"/>
      <c r="BW441" s="113"/>
      <c r="BX441" s="113"/>
      <c r="BY441" s="113"/>
      <c r="BZ441" s="113"/>
      <c r="CA441" s="113"/>
      <c r="CB441" s="113"/>
      <c r="CC441" s="113"/>
      <c r="CD441" s="113"/>
      <c r="CE441" s="113"/>
      <c r="CF441" s="113"/>
      <c r="CG441" s="113"/>
      <c r="CH441" s="113"/>
      <c r="CI441" s="113"/>
      <c r="CJ441" s="113"/>
      <c r="CK441" s="113"/>
    </row>
    <row r="442" spans="1:89" s="112" customFormat="1">
      <c r="A442" s="162"/>
      <c r="B442" s="129">
        <v>433</v>
      </c>
      <c r="C442" s="106" t="s">
        <v>65</v>
      </c>
      <c r="D442" s="124" t="s">
        <v>11</v>
      </c>
      <c r="E442" s="210">
        <v>1</v>
      </c>
      <c r="F442" s="205">
        <v>1</v>
      </c>
      <c r="G442" s="205"/>
      <c r="H442" s="205">
        <v>6.8</v>
      </c>
      <c r="I442" s="205">
        <f t="shared" si="101"/>
        <v>0.20399999999999999</v>
      </c>
      <c r="J442" s="147">
        <f t="shared" si="106"/>
        <v>0</v>
      </c>
      <c r="K442" s="147">
        <f t="shared" si="107"/>
        <v>6.8</v>
      </c>
      <c r="L442" s="147">
        <f t="shared" si="108"/>
        <v>0.20399999999999999</v>
      </c>
      <c r="M442" s="147">
        <f t="shared" si="109"/>
        <v>7.0039999999999996</v>
      </c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113"/>
      <c r="AS442" s="113"/>
      <c r="AT442" s="113"/>
      <c r="AU442" s="113"/>
      <c r="AV442" s="113"/>
      <c r="AW442" s="113"/>
      <c r="AX442" s="113"/>
      <c r="AY442" s="113"/>
      <c r="AZ442" s="113"/>
      <c r="BA442" s="113"/>
      <c r="BB442" s="113"/>
      <c r="BC442" s="113"/>
      <c r="BD442" s="113"/>
      <c r="BE442" s="113"/>
      <c r="BF442" s="113"/>
      <c r="BG442" s="113"/>
      <c r="BH442" s="113"/>
      <c r="BI442" s="113"/>
      <c r="BJ442" s="113"/>
      <c r="BK442" s="113"/>
      <c r="BL442" s="113"/>
      <c r="BM442" s="113"/>
      <c r="BN442" s="113"/>
      <c r="BO442" s="113"/>
      <c r="BP442" s="113"/>
      <c r="BQ442" s="113"/>
      <c r="BR442" s="113"/>
      <c r="BS442" s="113"/>
      <c r="BT442" s="113"/>
      <c r="BU442" s="113"/>
      <c r="BV442" s="113"/>
      <c r="BW442" s="113"/>
      <c r="BX442" s="113"/>
      <c r="BY442" s="113"/>
      <c r="BZ442" s="113"/>
      <c r="CA442" s="113"/>
      <c r="CB442" s="113"/>
      <c r="CC442" s="113"/>
      <c r="CD442" s="113"/>
      <c r="CE442" s="113"/>
      <c r="CF442" s="113"/>
      <c r="CG442" s="113"/>
      <c r="CH442" s="113"/>
      <c r="CI442" s="113"/>
      <c r="CJ442" s="113"/>
      <c r="CK442" s="113"/>
    </row>
    <row r="443" spans="1:89" s="112" customFormat="1">
      <c r="A443" s="162"/>
      <c r="B443" s="129">
        <v>434</v>
      </c>
      <c r="C443" s="106" t="s">
        <v>182</v>
      </c>
      <c r="D443" s="124" t="s">
        <v>191</v>
      </c>
      <c r="E443" s="210">
        <v>2</v>
      </c>
      <c r="F443" s="205">
        <v>2</v>
      </c>
      <c r="G443" s="205"/>
      <c r="H443" s="205">
        <v>22.5</v>
      </c>
      <c r="I443" s="205">
        <f t="shared" si="101"/>
        <v>0.67499999999999993</v>
      </c>
      <c r="J443" s="147">
        <f t="shared" si="106"/>
        <v>0</v>
      </c>
      <c r="K443" s="147">
        <f t="shared" si="107"/>
        <v>45</v>
      </c>
      <c r="L443" s="147">
        <f t="shared" si="108"/>
        <v>1.3499999999999999</v>
      </c>
      <c r="M443" s="147">
        <f t="shared" si="109"/>
        <v>46.35</v>
      </c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13"/>
      <c r="AE443" s="113"/>
      <c r="AF443" s="113"/>
      <c r="AG443" s="113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113"/>
      <c r="AS443" s="113"/>
      <c r="AT443" s="113"/>
      <c r="AU443" s="113"/>
      <c r="AV443" s="113"/>
      <c r="AW443" s="113"/>
      <c r="AX443" s="113"/>
      <c r="AY443" s="113"/>
      <c r="AZ443" s="113"/>
      <c r="BA443" s="113"/>
      <c r="BB443" s="113"/>
      <c r="BC443" s="113"/>
      <c r="BD443" s="113"/>
      <c r="BE443" s="113"/>
      <c r="BF443" s="113"/>
      <c r="BG443" s="113"/>
      <c r="BH443" s="113"/>
      <c r="BI443" s="113"/>
      <c r="BJ443" s="113"/>
      <c r="BK443" s="113"/>
      <c r="BL443" s="113"/>
      <c r="BM443" s="113"/>
      <c r="BN443" s="113"/>
      <c r="BO443" s="113"/>
      <c r="BP443" s="113"/>
      <c r="BQ443" s="113"/>
      <c r="BR443" s="113"/>
      <c r="BS443" s="113"/>
      <c r="BT443" s="113"/>
      <c r="BU443" s="113"/>
      <c r="BV443" s="113"/>
      <c r="BW443" s="113"/>
      <c r="BX443" s="113"/>
      <c r="BY443" s="113"/>
      <c r="BZ443" s="113"/>
      <c r="CA443" s="113"/>
      <c r="CB443" s="113"/>
      <c r="CC443" s="113"/>
      <c r="CD443" s="113"/>
      <c r="CE443" s="113"/>
      <c r="CF443" s="113"/>
      <c r="CG443" s="113"/>
      <c r="CH443" s="113"/>
      <c r="CI443" s="113"/>
      <c r="CJ443" s="113"/>
      <c r="CK443" s="113"/>
    </row>
    <row r="444" spans="1:89" s="112" customFormat="1">
      <c r="A444" s="162"/>
      <c r="B444" s="129">
        <v>435</v>
      </c>
      <c r="C444" s="106" t="s">
        <v>187</v>
      </c>
      <c r="D444" s="124" t="s">
        <v>189</v>
      </c>
      <c r="E444" s="210">
        <v>2</v>
      </c>
      <c r="F444" s="205">
        <v>2</v>
      </c>
      <c r="G444" s="205"/>
      <c r="H444" s="205">
        <v>3</v>
      </c>
      <c r="I444" s="205">
        <f t="shared" ref="I444:I512" si="110">(G444*0.1)+(H444*0.03)</f>
        <v>0.09</v>
      </c>
      <c r="J444" s="147">
        <f t="shared" si="106"/>
        <v>0</v>
      </c>
      <c r="K444" s="147">
        <f t="shared" si="107"/>
        <v>6</v>
      </c>
      <c r="L444" s="147">
        <f t="shared" si="108"/>
        <v>0.18</v>
      </c>
      <c r="M444" s="147">
        <f t="shared" si="109"/>
        <v>6.18</v>
      </c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  <c r="AA444" s="113"/>
      <c r="AB444" s="113"/>
      <c r="AC444" s="113"/>
      <c r="AD444" s="113"/>
      <c r="AE444" s="113"/>
      <c r="AF444" s="113"/>
      <c r="AG444" s="113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113"/>
      <c r="AS444" s="113"/>
      <c r="AT444" s="113"/>
      <c r="AU444" s="113"/>
      <c r="AV444" s="113"/>
      <c r="AW444" s="113"/>
      <c r="AX444" s="113"/>
      <c r="AY444" s="113"/>
      <c r="AZ444" s="113"/>
      <c r="BA444" s="113"/>
      <c r="BB444" s="113"/>
      <c r="BC444" s="113"/>
      <c r="BD444" s="113"/>
      <c r="BE444" s="113"/>
      <c r="BF444" s="113"/>
      <c r="BG444" s="113"/>
      <c r="BH444" s="113"/>
      <c r="BI444" s="113"/>
      <c r="BJ444" s="113"/>
      <c r="BK444" s="113"/>
      <c r="BL444" s="113"/>
      <c r="BM444" s="113"/>
      <c r="BN444" s="113"/>
      <c r="BO444" s="113"/>
      <c r="BP444" s="113"/>
      <c r="BQ444" s="113"/>
      <c r="BR444" s="113"/>
      <c r="BS444" s="113"/>
      <c r="BT444" s="113"/>
      <c r="BU444" s="113"/>
      <c r="BV444" s="113"/>
      <c r="BW444" s="113"/>
      <c r="BX444" s="113"/>
      <c r="BY444" s="113"/>
      <c r="BZ444" s="113"/>
      <c r="CA444" s="113"/>
      <c r="CB444" s="113"/>
      <c r="CC444" s="113"/>
      <c r="CD444" s="113"/>
      <c r="CE444" s="113"/>
      <c r="CF444" s="113"/>
      <c r="CG444" s="113"/>
      <c r="CH444" s="113"/>
      <c r="CI444" s="113"/>
      <c r="CJ444" s="113"/>
      <c r="CK444" s="113"/>
    </row>
    <row r="445" spans="1:89" s="140" customFormat="1">
      <c r="A445" s="161"/>
      <c r="B445" s="129">
        <v>436</v>
      </c>
      <c r="C445" s="182" t="s">
        <v>470</v>
      </c>
      <c r="D445" s="137"/>
      <c r="E445" s="209"/>
      <c r="F445" s="206"/>
      <c r="G445" s="206"/>
      <c r="H445" s="206"/>
      <c r="I445" s="206"/>
      <c r="J445" s="147">
        <f t="shared" ref="J445:J464" si="111">F445*G445</f>
        <v>0</v>
      </c>
      <c r="K445" s="147">
        <f t="shared" ref="K445:K464" si="112">F445*H445</f>
        <v>0</v>
      </c>
      <c r="L445" s="147">
        <f t="shared" ref="L445:L464" si="113">F445*I445</f>
        <v>0</v>
      </c>
      <c r="M445" s="147">
        <f t="shared" ref="M445:M464" si="114">J445+K445+L445</f>
        <v>0</v>
      </c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  <c r="AK445" s="139"/>
      <c r="AL445" s="139"/>
      <c r="AM445" s="139"/>
      <c r="AN445" s="139"/>
      <c r="AO445" s="139"/>
      <c r="AP445" s="139"/>
      <c r="AQ445" s="139"/>
      <c r="AR445" s="139"/>
      <c r="AS445" s="139"/>
      <c r="AT445" s="139"/>
      <c r="AU445" s="139"/>
      <c r="AV445" s="139"/>
      <c r="AW445" s="139"/>
      <c r="AX445" s="139"/>
      <c r="AY445" s="139"/>
      <c r="AZ445" s="139"/>
      <c r="BA445" s="139"/>
      <c r="BB445" s="139"/>
      <c r="BC445" s="139"/>
      <c r="BD445" s="139"/>
      <c r="BE445" s="139"/>
      <c r="BF445" s="139"/>
      <c r="BG445" s="139"/>
      <c r="BH445" s="139"/>
      <c r="BI445" s="139"/>
      <c r="BJ445" s="139"/>
      <c r="BK445" s="139"/>
      <c r="BL445" s="139"/>
      <c r="BM445" s="139"/>
      <c r="BN445" s="139"/>
      <c r="BO445" s="139"/>
      <c r="BP445" s="139"/>
      <c r="BQ445" s="139"/>
      <c r="BR445" s="139"/>
      <c r="BS445" s="139"/>
      <c r="BT445" s="139"/>
      <c r="BU445" s="139"/>
      <c r="BV445" s="139"/>
      <c r="BW445" s="139"/>
      <c r="BX445" s="139"/>
      <c r="BY445" s="139"/>
      <c r="BZ445" s="139"/>
      <c r="CA445" s="139"/>
      <c r="CB445" s="139"/>
      <c r="CC445" s="139"/>
      <c r="CD445" s="139"/>
      <c r="CE445" s="139"/>
      <c r="CF445" s="139"/>
      <c r="CG445" s="139"/>
      <c r="CH445" s="139"/>
      <c r="CI445" s="139"/>
      <c r="CJ445" s="139"/>
      <c r="CK445" s="139"/>
    </row>
    <row r="446" spans="1:89">
      <c r="A446" s="160"/>
      <c r="B446" s="129">
        <v>437</v>
      </c>
      <c r="C446" s="143" t="s">
        <v>408</v>
      </c>
      <c r="D446" s="123"/>
      <c r="E446" s="204"/>
      <c r="F446" s="147"/>
      <c r="G446" s="147"/>
      <c r="H446" s="147"/>
      <c r="I446" s="205"/>
      <c r="J446" s="147">
        <f t="shared" si="111"/>
        <v>0</v>
      </c>
      <c r="K446" s="147">
        <f t="shared" si="112"/>
        <v>0</v>
      </c>
      <c r="L446" s="147">
        <f t="shared" si="113"/>
        <v>0</v>
      </c>
      <c r="M446" s="147">
        <f t="shared" si="114"/>
        <v>0</v>
      </c>
      <c r="CD446" s="104"/>
      <c r="CE446" s="104"/>
      <c r="CF446" s="104"/>
      <c r="CG446" s="104"/>
      <c r="CH446" s="104"/>
      <c r="CI446" s="104"/>
      <c r="CJ446" s="104"/>
      <c r="CK446" s="104"/>
    </row>
    <row r="447" spans="1:89">
      <c r="A447" s="160"/>
      <c r="B447" s="129">
        <v>438</v>
      </c>
      <c r="C447" s="157" t="s">
        <v>106</v>
      </c>
      <c r="D447" s="123" t="s">
        <v>6</v>
      </c>
      <c r="E447" s="204">
        <v>570</v>
      </c>
      <c r="F447" s="147">
        <f>11.6*2.6</f>
        <v>30.16</v>
      </c>
      <c r="G447" s="147">
        <v>1.85</v>
      </c>
      <c r="H447" s="147"/>
      <c r="I447" s="205">
        <f t="shared" si="110"/>
        <v>0.18500000000000003</v>
      </c>
      <c r="J447" s="147">
        <f t="shared" si="111"/>
        <v>55.796000000000006</v>
      </c>
      <c r="K447" s="147">
        <f t="shared" si="112"/>
        <v>0</v>
      </c>
      <c r="L447" s="147">
        <f t="shared" si="113"/>
        <v>5.579600000000001</v>
      </c>
      <c r="M447" s="147">
        <f t="shared" si="114"/>
        <v>61.375600000000006</v>
      </c>
      <c r="CD447" s="104"/>
      <c r="CE447" s="104"/>
      <c r="CF447" s="104"/>
      <c r="CG447" s="104"/>
      <c r="CH447" s="104"/>
      <c r="CI447" s="104"/>
      <c r="CJ447" s="104"/>
      <c r="CK447" s="104"/>
    </row>
    <row r="448" spans="1:89">
      <c r="A448" s="160"/>
      <c r="B448" s="129">
        <v>439</v>
      </c>
      <c r="C448" s="157" t="s">
        <v>107</v>
      </c>
      <c r="D448" s="123" t="s">
        <v>6</v>
      </c>
      <c r="E448" s="204">
        <v>249</v>
      </c>
      <c r="F448" s="147">
        <v>7.8</v>
      </c>
      <c r="G448" s="147">
        <v>2.0499999999999998</v>
      </c>
      <c r="H448" s="147"/>
      <c r="I448" s="205">
        <f t="shared" si="110"/>
        <v>0.20499999999999999</v>
      </c>
      <c r="J448" s="147">
        <f t="shared" si="111"/>
        <v>15.989999999999998</v>
      </c>
      <c r="K448" s="147">
        <f t="shared" si="112"/>
        <v>0</v>
      </c>
      <c r="L448" s="147">
        <f t="shared" si="113"/>
        <v>1.599</v>
      </c>
      <c r="M448" s="147">
        <f t="shared" si="114"/>
        <v>17.588999999999999</v>
      </c>
      <c r="CD448" s="104"/>
      <c r="CE448" s="104"/>
      <c r="CF448" s="104"/>
      <c r="CG448" s="104"/>
      <c r="CH448" s="104"/>
      <c r="CI448" s="104"/>
      <c r="CJ448" s="104"/>
      <c r="CK448" s="104"/>
    </row>
    <row r="449" spans="1:89" s="112" customFormat="1">
      <c r="B449" s="129">
        <v>440</v>
      </c>
      <c r="C449" s="106" t="s">
        <v>391</v>
      </c>
      <c r="D449" s="124" t="s">
        <v>47</v>
      </c>
      <c r="E449" s="117"/>
      <c r="F449" s="205">
        <f>0.25*(F448+F447)</f>
        <v>9.49</v>
      </c>
      <c r="G449" s="205"/>
      <c r="H449" s="205">
        <v>0.65</v>
      </c>
      <c r="I449" s="205">
        <f t="shared" si="110"/>
        <v>1.95E-2</v>
      </c>
      <c r="J449" s="147">
        <f t="shared" si="111"/>
        <v>0</v>
      </c>
      <c r="K449" s="147">
        <f t="shared" si="112"/>
        <v>6.1685000000000008</v>
      </c>
      <c r="L449" s="147">
        <f t="shared" si="113"/>
        <v>0.185055</v>
      </c>
      <c r="M449" s="147">
        <f t="shared" si="114"/>
        <v>6.353555000000001</v>
      </c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113"/>
      <c r="AS449" s="113"/>
      <c r="AT449" s="113"/>
      <c r="AU449" s="113"/>
      <c r="AV449" s="113"/>
      <c r="AW449" s="113"/>
      <c r="AX449" s="113"/>
      <c r="AY449" s="113"/>
      <c r="AZ449" s="113"/>
      <c r="BA449" s="113"/>
      <c r="BB449" s="113"/>
      <c r="BC449" s="113"/>
      <c r="BD449" s="113"/>
      <c r="BE449" s="113"/>
      <c r="BF449" s="113"/>
      <c r="BG449" s="113"/>
      <c r="BH449" s="113"/>
      <c r="BI449" s="113"/>
      <c r="BJ449" s="113"/>
      <c r="BK449" s="113"/>
      <c r="BL449" s="113"/>
      <c r="BM449" s="113"/>
      <c r="BN449" s="113"/>
      <c r="BO449" s="113"/>
      <c r="BP449" s="113"/>
      <c r="BQ449" s="113"/>
      <c r="BR449" s="113"/>
      <c r="BS449" s="113"/>
      <c r="BT449" s="113"/>
      <c r="BU449" s="113"/>
      <c r="BV449" s="113"/>
      <c r="BW449" s="113"/>
      <c r="BX449" s="113"/>
      <c r="BY449" s="113"/>
      <c r="BZ449" s="113"/>
      <c r="CA449" s="113"/>
      <c r="CB449" s="113"/>
      <c r="CC449" s="113"/>
      <c r="CD449" s="113"/>
      <c r="CE449" s="113"/>
      <c r="CF449" s="113"/>
      <c r="CG449" s="113"/>
      <c r="CH449" s="113"/>
      <c r="CI449" s="113"/>
      <c r="CJ449" s="113"/>
      <c r="CK449" s="113"/>
    </row>
    <row r="450" spans="1:89" s="112" customFormat="1">
      <c r="A450" s="162"/>
      <c r="B450" s="129">
        <v>441</v>
      </c>
      <c r="C450" s="106" t="s">
        <v>108</v>
      </c>
      <c r="D450" s="124" t="s">
        <v>47</v>
      </c>
      <c r="E450" s="210">
        <v>200</v>
      </c>
      <c r="F450" s="205">
        <f>1.5*(F448+F447)</f>
        <v>56.94</v>
      </c>
      <c r="G450" s="205"/>
      <c r="H450" s="205">
        <v>0.33</v>
      </c>
      <c r="I450" s="205">
        <f t="shared" si="110"/>
        <v>9.9000000000000008E-3</v>
      </c>
      <c r="J450" s="147">
        <f t="shared" si="111"/>
        <v>0</v>
      </c>
      <c r="K450" s="147">
        <f t="shared" si="112"/>
        <v>18.790199999999999</v>
      </c>
      <c r="L450" s="147">
        <f t="shared" si="113"/>
        <v>0.56370600000000004</v>
      </c>
      <c r="M450" s="147">
        <f t="shared" si="114"/>
        <v>19.353905999999998</v>
      </c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3"/>
      <c r="AC450" s="113"/>
      <c r="AD450" s="113"/>
      <c r="AE450" s="113"/>
      <c r="AF450" s="113"/>
      <c r="AG450" s="113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113"/>
      <c r="AS450" s="113"/>
      <c r="AT450" s="113"/>
      <c r="AU450" s="113"/>
      <c r="AV450" s="113"/>
      <c r="AW450" s="113"/>
      <c r="AX450" s="113"/>
      <c r="AY450" s="113"/>
      <c r="AZ450" s="113"/>
      <c r="BA450" s="113"/>
      <c r="BB450" s="113"/>
      <c r="BC450" s="113"/>
      <c r="BD450" s="113"/>
      <c r="BE450" s="113"/>
      <c r="BF450" s="113"/>
      <c r="BG450" s="113"/>
      <c r="BH450" s="113"/>
      <c r="BI450" s="113"/>
      <c r="BJ450" s="113"/>
      <c r="BK450" s="113"/>
      <c r="BL450" s="113"/>
      <c r="BM450" s="113"/>
      <c r="BN450" s="113"/>
      <c r="BO450" s="113"/>
      <c r="BP450" s="113"/>
      <c r="BQ450" s="113"/>
      <c r="BR450" s="113"/>
      <c r="BS450" s="113"/>
      <c r="BT450" s="113"/>
      <c r="BU450" s="113"/>
      <c r="BV450" s="113"/>
      <c r="BW450" s="113"/>
      <c r="BX450" s="113"/>
      <c r="BY450" s="113"/>
      <c r="BZ450" s="113"/>
      <c r="CA450" s="113"/>
      <c r="CB450" s="113"/>
      <c r="CC450" s="113"/>
      <c r="CD450" s="113"/>
      <c r="CE450" s="113"/>
      <c r="CF450" s="113"/>
      <c r="CG450" s="113"/>
      <c r="CH450" s="113"/>
      <c r="CI450" s="113"/>
      <c r="CJ450" s="113"/>
      <c r="CK450" s="113"/>
    </row>
    <row r="451" spans="1:89" s="112" customFormat="1">
      <c r="A451" s="162"/>
      <c r="B451" s="129">
        <v>442</v>
      </c>
      <c r="C451" s="106" t="s">
        <v>110</v>
      </c>
      <c r="D451" s="124" t="s">
        <v>47</v>
      </c>
      <c r="E451" s="210">
        <v>382</v>
      </c>
      <c r="F451" s="205">
        <f>0.375*(F448+F447)</f>
        <v>14.234999999999999</v>
      </c>
      <c r="G451" s="205"/>
      <c r="H451" s="205">
        <v>2.57</v>
      </c>
      <c r="I451" s="205">
        <f t="shared" si="110"/>
        <v>7.7099999999999988E-2</v>
      </c>
      <c r="J451" s="147">
        <f t="shared" si="111"/>
        <v>0</v>
      </c>
      <c r="K451" s="147">
        <f t="shared" si="112"/>
        <v>36.583949999999994</v>
      </c>
      <c r="L451" s="147">
        <f t="shared" si="113"/>
        <v>1.0975184999999998</v>
      </c>
      <c r="M451" s="147">
        <f t="shared" si="114"/>
        <v>37.681468499999994</v>
      </c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  <c r="AA451" s="113"/>
      <c r="AB451" s="113"/>
      <c r="AC451" s="113"/>
      <c r="AD451" s="113"/>
      <c r="AE451" s="113"/>
      <c r="AF451" s="113"/>
      <c r="AG451" s="113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113"/>
      <c r="AS451" s="113"/>
      <c r="AT451" s="113"/>
      <c r="AU451" s="113"/>
      <c r="AV451" s="113"/>
      <c r="AW451" s="113"/>
      <c r="AX451" s="113"/>
      <c r="AY451" s="113"/>
      <c r="AZ451" s="113"/>
      <c r="BA451" s="113"/>
      <c r="BB451" s="113"/>
      <c r="BC451" s="113"/>
      <c r="BD451" s="113"/>
      <c r="BE451" s="113"/>
      <c r="BF451" s="113"/>
      <c r="BG451" s="113"/>
      <c r="BH451" s="113"/>
      <c r="BI451" s="113"/>
      <c r="BJ451" s="113"/>
      <c r="BK451" s="113"/>
      <c r="BL451" s="113"/>
      <c r="BM451" s="113"/>
      <c r="BN451" s="113"/>
      <c r="BO451" s="113"/>
      <c r="BP451" s="113"/>
      <c r="BQ451" s="113"/>
      <c r="BR451" s="113"/>
      <c r="BS451" s="113"/>
      <c r="BT451" s="113"/>
      <c r="BU451" s="113"/>
      <c r="BV451" s="113"/>
      <c r="BW451" s="113"/>
      <c r="BX451" s="113"/>
      <c r="BY451" s="113"/>
      <c r="BZ451" s="113"/>
      <c r="CA451" s="113"/>
      <c r="CB451" s="113"/>
      <c r="CC451" s="113"/>
      <c r="CD451" s="113"/>
      <c r="CE451" s="113"/>
      <c r="CF451" s="113"/>
      <c r="CG451" s="113"/>
      <c r="CH451" s="113"/>
      <c r="CI451" s="113"/>
      <c r="CJ451" s="113"/>
      <c r="CK451" s="113"/>
    </row>
    <row r="452" spans="1:89" ht="25.5" customHeight="1">
      <c r="B452" s="129">
        <v>443</v>
      </c>
      <c r="C452" s="146" t="s">
        <v>505</v>
      </c>
      <c r="D452" s="123" t="s">
        <v>6</v>
      </c>
      <c r="E452" s="129"/>
      <c r="F452" s="147">
        <v>7.8</v>
      </c>
      <c r="G452" s="147">
        <v>0.65</v>
      </c>
      <c r="H452" s="147"/>
      <c r="I452" s="205">
        <f t="shared" si="110"/>
        <v>6.5000000000000002E-2</v>
      </c>
      <c r="J452" s="147">
        <f t="shared" si="111"/>
        <v>5.07</v>
      </c>
      <c r="K452" s="147">
        <f t="shared" si="112"/>
        <v>0</v>
      </c>
      <c r="L452" s="147">
        <f t="shared" si="113"/>
        <v>0.50700000000000001</v>
      </c>
      <c r="M452" s="147">
        <f t="shared" si="114"/>
        <v>5.577</v>
      </c>
      <c r="N452" s="130"/>
      <c r="CD452" s="104"/>
      <c r="CE452" s="104"/>
      <c r="CF452" s="104"/>
      <c r="CG452" s="104"/>
      <c r="CH452" s="104"/>
      <c r="CI452" s="104"/>
      <c r="CJ452" s="104"/>
      <c r="CK452" s="104"/>
    </row>
    <row r="453" spans="1:89">
      <c r="B453" s="129">
        <v>444</v>
      </c>
      <c r="C453" s="106" t="s">
        <v>392</v>
      </c>
      <c r="D453" s="123" t="s">
        <v>6</v>
      </c>
      <c r="E453" s="129"/>
      <c r="F453" s="147">
        <f>F452*1.5</f>
        <v>11.7</v>
      </c>
      <c r="G453" s="147"/>
      <c r="H453" s="147">
        <v>0.6</v>
      </c>
      <c r="I453" s="205">
        <f t="shared" si="110"/>
        <v>1.7999999999999999E-2</v>
      </c>
      <c r="J453" s="147">
        <f t="shared" si="111"/>
        <v>0</v>
      </c>
      <c r="K453" s="147">
        <f t="shared" si="112"/>
        <v>7.02</v>
      </c>
      <c r="L453" s="147">
        <f t="shared" si="113"/>
        <v>0.21059999999999998</v>
      </c>
      <c r="M453" s="147">
        <f t="shared" si="114"/>
        <v>7.2305999999999999</v>
      </c>
      <c r="CD453" s="104"/>
      <c r="CE453" s="104"/>
      <c r="CF453" s="104"/>
      <c r="CG453" s="104"/>
      <c r="CH453" s="104"/>
      <c r="CI453" s="104"/>
      <c r="CJ453" s="104"/>
      <c r="CK453" s="104"/>
    </row>
    <row r="454" spans="1:89">
      <c r="B454" s="129">
        <v>445</v>
      </c>
      <c r="C454" s="131" t="s">
        <v>393</v>
      </c>
      <c r="D454" s="123" t="s">
        <v>6</v>
      </c>
      <c r="E454" s="129"/>
      <c r="F454" s="147">
        <v>7.8</v>
      </c>
      <c r="G454" s="147">
        <v>0.55000000000000004</v>
      </c>
      <c r="H454" s="147"/>
      <c r="I454" s="205">
        <f t="shared" si="110"/>
        <v>5.5000000000000007E-2</v>
      </c>
      <c r="J454" s="147">
        <f t="shared" si="111"/>
        <v>4.29</v>
      </c>
      <c r="K454" s="147">
        <f t="shared" si="112"/>
        <v>0</v>
      </c>
      <c r="L454" s="147">
        <f t="shared" si="113"/>
        <v>0.42900000000000005</v>
      </c>
      <c r="M454" s="147">
        <f t="shared" si="114"/>
        <v>4.7190000000000003</v>
      </c>
      <c r="CD454" s="104"/>
      <c r="CE454" s="104"/>
      <c r="CF454" s="104"/>
      <c r="CG454" s="104"/>
      <c r="CH454" s="104"/>
      <c r="CI454" s="104"/>
      <c r="CJ454" s="104"/>
      <c r="CK454" s="104"/>
    </row>
    <row r="455" spans="1:89">
      <c r="B455" s="129">
        <v>446</v>
      </c>
      <c r="C455" s="106" t="s">
        <v>94</v>
      </c>
      <c r="D455" s="123" t="s">
        <v>47</v>
      </c>
      <c r="E455" s="129"/>
      <c r="F455" s="147">
        <f>F452*4</f>
        <v>31.2</v>
      </c>
      <c r="G455" s="147"/>
      <c r="H455" s="147">
        <v>0.45</v>
      </c>
      <c r="I455" s="205">
        <f t="shared" si="110"/>
        <v>1.35E-2</v>
      </c>
      <c r="J455" s="147">
        <f t="shared" si="111"/>
        <v>0</v>
      </c>
      <c r="K455" s="147">
        <f t="shared" si="112"/>
        <v>14.04</v>
      </c>
      <c r="L455" s="147">
        <f t="shared" si="113"/>
        <v>0.42119999999999996</v>
      </c>
      <c r="M455" s="147">
        <f t="shared" si="114"/>
        <v>14.4612</v>
      </c>
      <c r="CD455" s="104"/>
      <c r="CE455" s="104"/>
      <c r="CF455" s="104"/>
      <c r="CG455" s="104"/>
      <c r="CH455" s="104"/>
      <c r="CI455" s="104"/>
      <c r="CJ455" s="104"/>
      <c r="CK455" s="104"/>
    </row>
    <row r="456" spans="1:89">
      <c r="B456" s="129">
        <v>447</v>
      </c>
      <c r="C456" s="146" t="s">
        <v>506</v>
      </c>
      <c r="D456" s="123" t="s">
        <v>6</v>
      </c>
      <c r="E456" s="129"/>
      <c r="F456" s="147">
        <v>7.8</v>
      </c>
      <c r="G456" s="147">
        <v>5.4</v>
      </c>
      <c r="H456" s="147"/>
      <c r="I456" s="205">
        <f t="shared" si="110"/>
        <v>0.54</v>
      </c>
      <c r="J456" s="147">
        <f t="shared" si="111"/>
        <v>42.120000000000005</v>
      </c>
      <c r="K456" s="147">
        <f t="shared" si="112"/>
        <v>0</v>
      </c>
      <c r="L456" s="147">
        <f t="shared" si="113"/>
        <v>4.2119999999999997</v>
      </c>
      <c r="M456" s="147">
        <f t="shared" si="114"/>
        <v>46.332000000000008</v>
      </c>
      <c r="N456" s="130"/>
      <c r="CD456" s="104"/>
      <c r="CE456" s="104"/>
      <c r="CF456" s="104"/>
      <c r="CG456" s="104"/>
      <c r="CH456" s="104"/>
      <c r="CI456" s="104"/>
      <c r="CJ456" s="104"/>
      <c r="CK456" s="104"/>
    </row>
    <row r="457" spans="1:89">
      <c r="B457" s="129">
        <v>448</v>
      </c>
      <c r="C457" s="118" t="s">
        <v>333</v>
      </c>
      <c r="D457" s="123" t="s">
        <v>47</v>
      </c>
      <c r="E457" s="129"/>
      <c r="F457" s="147">
        <f>4.5*F456</f>
        <v>35.1</v>
      </c>
      <c r="G457" s="147"/>
      <c r="H457" s="147">
        <v>0.23</v>
      </c>
      <c r="I457" s="205">
        <f t="shared" si="110"/>
        <v>6.8999999999999999E-3</v>
      </c>
      <c r="J457" s="147">
        <f t="shared" si="111"/>
        <v>0</v>
      </c>
      <c r="K457" s="147">
        <f t="shared" si="112"/>
        <v>8.0730000000000004</v>
      </c>
      <c r="L457" s="147">
        <f t="shared" si="113"/>
        <v>0.24219000000000002</v>
      </c>
      <c r="M457" s="147">
        <f t="shared" si="114"/>
        <v>8.3151900000000012</v>
      </c>
      <c r="CD457" s="104"/>
      <c r="CE457" s="104"/>
      <c r="CF457" s="104"/>
      <c r="CG457" s="104"/>
      <c r="CH457" s="104"/>
      <c r="CI457" s="104"/>
      <c r="CJ457" s="104"/>
      <c r="CK457" s="104"/>
    </row>
    <row r="458" spans="1:89">
      <c r="B458" s="129">
        <v>449</v>
      </c>
      <c r="C458" s="106" t="s">
        <v>57</v>
      </c>
      <c r="D458" s="123" t="s">
        <v>6</v>
      </c>
      <c r="E458" s="129"/>
      <c r="F458" s="147">
        <f>F456*1.05</f>
        <v>8.19</v>
      </c>
      <c r="G458" s="147"/>
      <c r="H458" s="147">
        <v>6.5</v>
      </c>
      <c r="I458" s="205">
        <f t="shared" si="110"/>
        <v>0.19500000000000001</v>
      </c>
      <c r="J458" s="147">
        <f t="shared" si="111"/>
        <v>0</v>
      </c>
      <c r="K458" s="147">
        <f t="shared" si="112"/>
        <v>53.234999999999999</v>
      </c>
      <c r="L458" s="147">
        <f t="shared" si="113"/>
        <v>1.5970499999999999</v>
      </c>
      <c r="M458" s="147">
        <f t="shared" si="114"/>
        <v>54.832050000000002</v>
      </c>
      <c r="CD458" s="104"/>
      <c r="CE458" s="104"/>
      <c r="CF458" s="104"/>
      <c r="CG458" s="104"/>
      <c r="CH458" s="104"/>
      <c r="CI458" s="104"/>
      <c r="CJ458" s="104"/>
      <c r="CK458" s="104"/>
    </row>
    <row r="459" spans="1:89">
      <c r="B459" s="129">
        <v>450</v>
      </c>
      <c r="C459" s="106" t="s">
        <v>59</v>
      </c>
      <c r="D459" s="123" t="s">
        <v>47</v>
      </c>
      <c r="E459" s="129"/>
      <c r="F459" s="147">
        <f>F456</f>
        <v>7.8</v>
      </c>
      <c r="G459" s="147"/>
      <c r="H459" s="147">
        <v>0.5</v>
      </c>
      <c r="I459" s="205">
        <f t="shared" si="110"/>
        <v>1.4999999999999999E-2</v>
      </c>
      <c r="J459" s="147">
        <f t="shared" si="111"/>
        <v>0</v>
      </c>
      <c r="K459" s="147">
        <f t="shared" si="112"/>
        <v>3.9</v>
      </c>
      <c r="L459" s="147">
        <f t="shared" si="113"/>
        <v>0.11699999999999999</v>
      </c>
      <c r="M459" s="147">
        <f t="shared" si="114"/>
        <v>4.0169999999999995</v>
      </c>
      <c r="CD459" s="104"/>
      <c r="CE459" s="104"/>
      <c r="CF459" s="104"/>
      <c r="CG459" s="104"/>
      <c r="CH459" s="104"/>
      <c r="CI459" s="104"/>
      <c r="CJ459" s="104"/>
      <c r="CK459" s="104"/>
    </row>
    <row r="460" spans="1:89">
      <c r="A460" s="160"/>
      <c r="B460" s="129">
        <v>451</v>
      </c>
      <c r="C460" s="131" t="s">
        <v>120</v>
      </c>
      <c r="D460" s="123" t="s">
        <v>114</v>
      </c>
      <c r="E460" s="204">
        <v>252</v>
      </c>
      <c r="F460" s="147">
        <v>26.54</v>
      </c>
      <c r="G460" s="147">
        <v>1.1000000000000001</v>
      </c>
      <c r="H460" s="147"/>
      <c r="I460" s="205">
        <f t="shared" si="110"/>
        <v>0.11000000000000001</v>
      </c>
      <c r="J460" s="147">
        <f t="shared" si="111"/>
        <v>29.194000000000003</v>
      </c>
      <c r="K460" s="147">
        <f t="shared" si="112"/>
        <v>0</v>
      </c>
      <c r="L460" s="147">
        <f t="shared" si="113"/>
        <v>2.9194000000000004</v>
      </c>
      <c r="M460" s="147">
        <f t="shared" si="114"/>
        <v>32.113400000000006</v>
      </c>
      <c r="CD460" s="104"/>
      <c r="CE460" s="104"/>
      <c r="CF460" s="104"/>
      <c r="CG460" s="104"/>
      <c r="CH460" s="104"/>
      <c r="CI460" s="104"/>
      <c r="CJ460" s="104"/>
      <c r="CK460" s="104"/>
    </row>
    <row r="461" spans="1:89" s="112" customFormat="1">
      <c r="A461" s="162"/>
      <c r="B461" s="129">
        <v>452</v>
      </c>
      <c r="C461" s="106" t="s">
        <v>121</v>
      </c>
      <c r="D461" s="124" t="s">
        <v>114</v>
      </c>
      <c r="E461" s="210">
        <v>162</v>
      </c>
      <c r="F461" s="205">
        <f>1.5+5.02*2</f>
        <v>11.54</v>
      </c>
      <c r="G461" s="205"/>
      <c r="H461" s="205">
        <v>1.85</v>
      </c>
      <c r="I461" s="205">
        <f t="shared" si="110"/>
        <v>5.5500000000000001E-2</v>
      </c>
      <c r="J461" s="147">
        <f t="shared" si="111"/>
        <v>0</v>
      </c>
      <c r="K461" s="147">
        <f t="shared" si="112"/>
        <v>21.349</v>
      </c>
      <c r="L461" s="147">
        <f t="shared" si="113"/>
        <v>0.64046999999999998</v>
      </c>
      <c r="M461" s="147">
        <f t="shared" si="114"/>
        <v>21.989470000000001</v>
      </c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113"/>
      <c r="AS461" s="113"/>
      <c r="AT461" s="113"/>
      <c r="AU461" s="113"/>
      <c r="AV461" s="113"/>
      <c r="AW461" s="113"/>
      <c r="AX461" s="113"/>
      <c r="AY461" s="113"/>
      <c r="AZ461" s="113"/>
      <c r="BA461" s="113"/>
      <c r="BB461" s="113"/>
      <c r="BC461" s="113"/>
      <c r="BD461" s="113"/>
      <c r="BE461" s="113"/>
      <c r="BF461" s="113"/>
      <c r="BG461" s="113"/>
      <c r="BH461" s="113"/>
      <c r="BI461" s="113"/>
      <c r="BJ461" s="113"/>
      <c r="BK461" s="113"/>
      <c r="BL461" s="113"/>
      <c r="BM461" s="113"/>
      <c r="BN461" s="113"/>
      <c r="BO461" s="113"/>
      <c r="BP461" s="113"/>
      <c r="BQ461" s="113"/>
      <c r="BR461" s="113"/>
      <c r="BS461" s="113"/>
      <c r="BT461" s="113"/>
      <c r="BU461" s="113"/>
      <c r="BV461" s="113"/>
      <c r="BW461" s="113"/>
      <c r="BX461" s="113"/>
      <c r="BY461" s="113"/>
      <c r="BZ461" s="113"/>
      <c r="CA461" s="113"/>
      <c r="CB461" s="113"/>
      <c r="CC461" s="113"/>
      <c r="CD461" s="113"/>
      <c r="CE461" s="113"/>
      <c r="CF461" s="113"/>
      <c r="CG461" s="113"/>
      <c r="CH461" s="113"/>
      <c r="CI461" s="113"/>
      <c r="CJ461" s="113"/>
      <c r="CK461" s="113"/>
    </row>
    <row r="462" spans="1:89" s="112" customFormat="1">
      <c r="A462" s="162"/>
      <c r="B462" s="129">
        <v>453</v>
      </c>
      <c r="C462" s="106" t="s">
        <v>122</v>
      </c>
      <c r="D462" s="124" t="s">
        <v>114</v>
      </c>
      <c r="E462" s="210">
        <v>90</v>
      </c>
      <c r="F462" s="205">
        <v>15</v>
      </c>
      <c r="G462" s="205"/>
      <c r="H462" s="205">
        <v>1.85</v>
      </c>
      <c r="I462" s="205">
        <f t="shared" si="110"/>
        <v>5.5500000000000001E-2</v>
      </c>
      <c r="J462" s="147">
        <f t="shared" si="111"/>
        <v>0</v>
      </c>
      <c r="K462" s="147">
        <f t="shared" si="112"/>
        <v>27.75</v>
      </c>
      <c r="L462" s="147">
        <f t="shared" si="113"/>
        <v>0.83250000000000002</v>
      </c>
      <c r="M462" s="147">
        <f t="shared" si="114"/>
        <v>28.5825</v>
      </c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  <c r="AA462" s="113"/>
      <c r="AB462" s="113"/>
      <c r="AC462" s="113"/>
      <c r="AD462" s="113"/>
      <c r="AE462" s="113"/>
      <c r="AF462" s="113"/>
      <c r="AG462" s="113"/>
      <c r="AH462" s="113"/>
      <c r="AI462" s="113"/>
      <c r="AJ462" s="113"/>
      <c r="AK462" s="113"/>
      <c r="AL462" s="113"/>
      <c r="AM462" s="113"/>
      <c r="AN462" s="113"/>
      <c r="AO462" s="113"/>
      <c r="AP462" s="113"/>
      <c r="AQ462" s="113"/>
      <c r="AR462" s="113"/>
      <c r="AS462" s="113"/>
      <c r="AT462" s="113"/>
      <c r="AU462" s="113"/>
      <c r="AV462" s="113"/>
      <c r="AW462" s="113"/>
      <c r="AX462" s="113"/>
      <c r="AY462" s="113"/>
      <c r="AZ462" s="113"/>
      <c r="BA462" s="113"/>
      <c r="BB462" s="113"/>
      <c r="BC462" s="113"/>
      <c r="BD462" s="113"/>
      <c r="BE462" s="113"/>
      <c r="BF462" s="113"/>
      <c r="BG462" s="113"/>
      <c r="BH462" s="113"/>
      <c r="BI462" s="113"/>
      <c r="BJ462" s="113"/>
      <c r="BK462" s="113"/>
      <c r="BL462" s="113"/>
      <c r="BM462" s="113"/>
      <c r="BN462" s="113"/>
      <c r="BO462" s="113"/>
      <c r="BP462" s="113"/>
      <c r="BQ462" s="113"/>
      <c r="BR462" s="113"/>
      <c r="BS462" s="113"/>
      <c r="BT462" s="113"/>
      <c r="BU462" s="113"/>
      <c r="BV462" s="113"/>
      <c r="BW462" s="113"/>
      <c r="BX462" s="113"/>
      <c r="BY462" s="113"/>
      <c r="BZ462" s="113"/>
      <c r="CA462" s="113"/>
      <c r="CB462" s="113"/>
      <c r="CC462" s="113"/>
      <c r="CD462" s="113"/>
      <c r="CE462" s="113"/>
      <c r="CF462" s="113"/>
      <c r="CG462" s="113"/>
      <c r="CH462" s="113"/>
      <c r="CI462" s="113"/>
      <c r="CJ462" s="113"/>
      <c r="CK462" s="113"/>
    </row>
    <row r="463" spans="1:89" s="112" customFormat="1">
      <c r="A463" s="162"/>
      <c r="B463" s="129">
        <v>454</v>
      </c>
      <c r="C463" s="106" t="s">
        <v>39</v>
      </c>
      <c r="D463" s="124" t="s">
        <v>83</v>
      </c>
      <c r="E463" s="210">
        <v>252</v>
      </c>
      <c r="F463" s="205">
        <v>23</v>
      </c>
      <c r="G463" s="205"/>
      <c r="H463" s="205">
        <v>0.44</v>
      </c>
      <c r="I463" s="205">
        <f t="shared" si="110"/>
        <v>1.32E-2</v>
      </c>
      <c r="J463" s="147">
        <f t="shared" si="111"/>
        <v>0</v>
      </c>
      <c r="K463" s="147">
        <f t="shared" si="112"/>
        <v>10.119999999999999</v>
      </c>
      <c r="L463" s="147">
        <f t="shared" si="113"/>
        <v>0.30359999999999998</v>
      </c>
      <c r="M463" s="147">
        <f t="shared" si="114"/>
        <v>10.423599999999999</v>
      </c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  <c r="AA463" s="113"/>
      <c r="AB463" s="113"/>
      <c r="AC463" s="113"/>
      <c r="AD463" s="113"/>
      <c r="AE463" s="113"/>
      <c r="AF463" s="113"/>
      <c r="AG463" s="113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113"/>
      <c r="AS463" s="113"/>
      <c r="AT463" s="113"/>
      <c r="AU463" s="113"/>
      <c r="AV463" s="113"/>
      <c r="AW463" s="113"/>
      <c r="AX463" s="113"/>
      <c r="AY463" s="113"/>
      <c r="AZ463" s="113"/>
      <c r="BA463" s="113"/>
      <c r="BB463" s="113"/>
      <c r="BC463" s="113"/>
      <c r="BD463" s="113"/>
      <c r="BE463" s="113"/>
      <c r="BF463" s="113"/>
      <c r="BG463" s="113"/>
      <c r="BH463" s="113"/>
      <c r="BI463" s="113"/>
      <c r="BJ463" s="113"/>
      <c r="BK463" s="113"/>
      <c r="BL463" s="113"/>
      <c r="BM463" s="113"/>
      <c r="BN463" s="113"/>
      <c r="BO463" s="113"/>
      <c r="BP463" s="113"/>
      <c r="BQ463" s="113"/>
      <c r="BR463" s="113"/>
      <c r="BS463" s="113"/>
      <c r="BT463" s="113"/>
      <c r="BU463" s="113"/>
      <c r="BV463" s="113"/>
      <c r="BW463" s="113"/>
      <c r="BX463" s="113"/>
      <c r="BY463" s="113"/>
      <c r="BZ463" s="113"/>
      <c r="CA463" s="113"/>
      <c r="CB463" s="113"/>
      <c r="CC463" s="113"/>
      <c r="CD463" s="113"/>
      <c r="CE463" s="113"/>
      <c r="CF463" s="113"/>
      <c r="CG463" s="113"/>
      <c r="CH463" s="113"/>
      <c r="CI463" s="113"/>
      <c r="CJ463" s="113"/>
      <c r="CK463" s="113"/>
    </row>
    <row r="464" spans="1:89" s="112" customFormat="1">
      <c r="A464" s="162"/>
      <c r="B464" s="129">
        <v>455</v>
      </c>
      <c r="C464" s="106" t="s">
        <v>119</v>
      </c>
      <c r="D464" s="124" t="s">
        <v>47</v>
      </c>
      <c r="E464" s="210">
        <v>20</v>
      </c>
      <c r="F464" s="205">
        <f>0.25*(F462+F461)*0.07</f>
        <v>0.46445000000000003</v>
      </c>
      <c r="G464" s="205"/>
      <c r="H464" s="205">
        <v>4.87</v>
      </c>
      <c r="I464" s="205">
        <f t="shared" si="110"/>
        <v>0.14610000000000001</v>
      </c>
      <c r="J464" s="147">
        <f t="shared" si="111"/>
        <v>0</v>
      </c>
      <c r="K464" s="147">
        <f t="shared" si="112"/>
        <v>2.2618715000000003</v>
      </c>
      <c r="L464" s="147">
        <f t="shared" si="113"/>
        <v>6.7856145000000007E-2</v>
      </c>
      <c r="M464" s="147">
        <f t="shared" si="114"/>
        <v>2.3297276450000002</v>
      </c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  <c r="AA464" s="113"/>
      <c r="AB464" s="113"/>
      <c r="AC464" s="113"/>
      <c r="AD464" s="113"/>
      <c r="AE464" s="113"/>
      <c r="AF464" s="113"/>
      <c r="AG464" s="113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113"/>
      <c r="AS464" s="113"/>
      <c r="AT464" s="113"/>
      <c r="AU464" s="113"/>
      <c r="AV464" s="113"/>
      <c r="AW464" s="113"/>
      <c r="AX464" s="113"/>
      <c r="AY464" s="113"/>
      <c r="AZ464" s="113"/>
      <c r="BA464" s="113"/>
      <c r="BB464" s="113"/>
      <c r="BC464" s="113"/>
      <c r="BD464" s="113"/>
      <c r="BE464" s="113"/>
      <c r="BF464" s="113"/>
      <c r="BG464" s="113"/>
      <c r="BH464" s="113"/>
      <c r="BI464" s="113"/>
      <c r="BJ464" s="113"/>
      <c r="BK464" s="113"/>
      <c r="BL464" s="113"/>
      <c r="BM464" s="113"/>
      <c r="BN464" s="113"/>
      <c r="BO464" s="113"/>
      <c r="BP464" s="113"/>
      <c r="BQ464" s="113"/>
      <c r="BR464" s="113"/>
      <c r="BS464" s="113"/>
      <c r="BT464" s="113"/>
      <c r="BU464" s="113"/>
      <c r="BV464" s="113"/>
      <c r="BW464" s="113"/>
      <c r="BX464" s="113"/>
      <c r="BY464" s="113"/>
      <c r="BZ464" s="113"/>
      <c r="CA464" s="113"/>
      <c r="CB464" s="113"/>
      <c r="CC464" s="113"/>
      <c r="CD464" s="113"/>
      <c r="CE464" s="113"/>
      <c r="CF464" s="113"/>
      <c r="CG464" s="113"/>
      <c r="CH464" s="113"/>
      <c r="CI464" s="113"/>
      <c r="CJ464" s="113"/>
      <c r="CK464" s="113"/>
    </row>
    <row r="465" spans="1:89" s="140" customFormat="1">
      <c r="A465" s="161"/>
      <c r="B465" s="129">
        <v>456</v>
      </c>
      <c r="C465" s="140" t="s">
        <v>472</v>
      </c>
      <c r="D465" s="137"/>
      <c r="E465" s="209"/>
      <c r="F465" s="206"/>
      <c r="G465" s="206"/>
      <c r="H465" s="206"/>
      <c r="I465" s="206"/>
      <c r="J465" s="147">
        <f t="shared" ref="J465:J488" si="115">F465*G465</f>
        <v>0</v>
      </c>
      <c r="K465" s="147">
        <f t="shared" ref="K465:K488" si="116">F465*H465</f>
        <v>0</v>
      </c>
      <c r="L465" s="147">
        <f t="shared" ref="L465:L488" si="117">F465*I465</f>
        <v>0</v>
      </c>
      <c r="M465" s="147">
        <f t="shared" ref="M465:M488" si="118">J465+K465+L465</f>
        <v>0</v>
      </c>
      <c r="O465" s="139"/>
      <c r="P465" s="139"/>
      <c r="Q465" s="139"/>
      <c r="R465" s="139"/>
      <c r="S465" s="139"/>
      <c r="T465" s="139"/>
      <c r="U465" s="139"/>
      <c r="V465" s="139"/>
      <c r="W465" s="139"/>
      <c r="X465" s="139"/>
      <c r="Y465" s="139"/>
      <c r="Z465" s="139"/>
      <c r="AA465" s="139"/>
      <c r="AB465" s="139"/>
      <c r="AC465" s="139"/>
      <c r="AD465" s="139"/>
      <c r="AE465" s="139"/>
      <c r="AF465" s="139"/>
      <c r="AG465" s="139"/>
      <c r="AH465" s="139"/>
      <c r="AI465" s="139"/>
      <c r="AJ465" s="139"/>
      <c r="AK465" s="139"/>
      <c r="AL465" s="139"/>
      <c r="AM465" s="139"/>
      <c r="AN465" s="139"/>
      <c r="AO465" s="139"/>
      <c r="AP465" s="139"/>
      <c r="AQ465" s="139"/>
      <c r="AR465" s="139"/>
      <c r="AS465" s="139"/>
      <c r="AT465" s="139"/>
      <c r="AU465" s="139"/>
      <c r="AV465" s="139"/>
      <c r="AW465" s="139"/>
      <c r="AX465" s="139"/>
      <c r="AY465" s="139"/>
      <c r="AZ465" s="139"/>
      <c r="BA465" s="139"/>
      <c r="BB465" s="139"/>
      <c r="BC465" s="139"/>
      <c r="BD465" s="139"/>
      <c r="BE465" s="139"/>
      <c r="BF465" s="139"/>
      <c r="BG465" s="139"/>
      <c r="BH465" s="139"/>
      <c r="BI465" s="139"/>
      <c r="BJ465" s="139"/>
      <c r="BK465" s="139"/>
      <c r="BL465" s="139"/>
      <c r="BM465" s="139"/>
      <c r="BN465" s="139"/>
      <c r="BO465" s="139"/>
      <c r="BP465" s="139"/>
      <c r="BQ465" s="139"/>
      <c r="BR465" s="139"/>
      <c r="BS465" s="139"/>
      <c r="BT465" s="139"/>
      <c r="BU465" s="139"/>
      <c r="BV465" s="139"/>
      <c r="BW465" s="139"/>
      <c r="BX465" s="139"/>
      <c r="BY465" s="139"/>
      <c r="BZ465" s="139"/>
      <c r="CA465" s="139"/>
      <c r="CB465" s="139"/>
      <c r="CC465" s="139"/>
      <c r="CD465" s="139"/>
      <c r="CE465" s="139"/>
      <c r="CF465" s="139"/>
      <c r="CG465" s="139"/>
      <c r="CH465" s="139"/>
      <c r="CI465" s="139"/>
      <c r="CJ465" s="139"/>
      <c r="CK465" s="139"/>
    </row>
    <row r="466" spans="1:89">
      <c r="A466" s="160"/>
      <c r="B466" s="129">
        <v>457</v>
      </c>
      <c r="C466" s="143" t="s">
        <v>471</v>
      </c>
      <c r="D466" s="123"/>
      <c r="E466" s="204"/>
      <c r="F466" s="147"/>
      <c r="G466" s="147"/>
      <c r="H466" s="147"/>
      <c r="I466" s="205">
        <f t="shared" si="110"/>
        <v>0</v>
      </c>
      <c r="J466" s="147">
        <f t="shared" si="115"/>
        <v>0</v>
      </c>
      <c r="K466" s="147">
        <f t="shared" si="116"/>
        <v>0</v>
      </c>
      <c r="L466" s="147">
        <f t="shared" si="117"/>
        <v>0</v>
      </c>
      <c r="M466" s="147">
        <f t="shared" si="118"/>
        <v>0</v>
      </c>
      <c r="CD466" s="104"/>
      <c r="CE466" s="104"/>
      <c r="CF466" s="104"/>
      <c r="CG466" s="104"/>
      <c r="CH466" s="104"/>
      <c r="CI466" s="104"/>
      <c r="CJ466" s="104"/>
      <c r="CK466" s="104"/>
    </row>
    <row r="467" spans="1:89">
      <c r="A467" s="160"/>
      <c r="B467" s="129">
        <v>458</v>
      </c>
      <c r="C467" s="157" t="s">
        <v>106</v>
      </c>
      <c r="D467" s="123" t="s">
        <v>6</v>
      </c>
      <c r="E467" s="204">
        <v>570</v>
      </c>
      <c r="F467" s="147">
        <f>F485*2.6</f>
        <v>54.18399999999999</v>
      </c>
      <c r="G467" s="147">
        <v>1.35</v>
      </c>
      <c r="H467" s="147"/>
      <c r="I467" s="205">
        <f t="shared" si="110"/>
        <v>0.13500000000000001</v>
      </c>
      <c r="J467" s="147">
        <f t="shared" si="115"/>
        <v>73.148399999999995</v>
      </c>
      <c r="K467" s="147">
        <f t="shared" si="116"/>
        <v>0</v>
      </c>
      <c r="L467" s="147">
        <f t="shared" si="117"/>
        <v>7.3148399999999993</v>
      </c>
      <c r="M467" s="147">
        <f t="shared" si="118"/>
        <v>80.463239999999999</v>
      </c>
      <c r="CD467" s="104"/>
      <c r="CE467" s="104"/>
      <c r="CF467" s="104"/>
      <c r="CG467" s="104"/>
      <c r="CH467" s="104"/>
      <c r="CI467" s="104"/>
      <c r="CJ467" s="104"/>
      <c r="CK467" s="104"/>
    </row>
    <row r="468" spans="1:89">
      <c r="A468" s="160"/>
      <c r="B468" s="129">
        <v>459</v>
      </c>
      <c r="C468" s="157" t="s">
        <v>107</v>
      </c>
      <c r="D468" s="123" t="s">
        <v>6</v>
      </c>
      <c r="E468" s="204">
        <v>249</v>
      </c>
      <c r="F468" s="147">
        <v>23.8</v>
      </c>
      <c r="G468" s="147">
        <v>1.65</v>
      </c>
      <c r="H468" s="147"/>
      <c r="I468" s="205">
        <f t="shared" si="110"/>
        <v>0.16500000000000001</v>
      </c>
      <c r="J468" s="147">
        <f t="shared" si="115"/>
        <v>39.269999999999996</v>
      </c>
      <c r="K468" s="147">
        <f t="shared" si="116"/>
        <v>0</v>
      </c>
      <c r="L468" s="147">
        <f t="shared" si="117"/>
        <v>3.9270000000000005</v>
      </c>
      <c r="M468" s="147">
        <f t="shared" si="118"/>
        <v>43.196999999999996</v>
      </c>
      <c r="CD468" s="104"/>
      <c r="CE468" s="104"/>
      <c r="CF468" s="104"/>
      <c r="CG468" s="104"/>
      <c r="CH468" s="104"/>
      <c r="CI468" s="104"/>
      <c r="CJ468" s="104"/>
      <c r="CK468" s="104"/>
    </row>
    <row r="469" spans="1:89" s="112" customFormat="1">
      <c r="B469" s="129">
        <v>460</v>
      </c>
      <c r="C469" s="106" t="s">
        <v>391</v>
      </c>
      <c r="D469" s="124" t="s">
        <v>502</v>
      </c>
      <c r="E469" s="117"/>
      <c r="F469" s="205">
        <v>2</v>
      </c>
      <c r="G469" s="205"/>
      <c r="H469" s="205">
        <v>5.17</v>
      </c>
      <c r="I469" s="205">
        <f t="shared" si="110"/>
        <v>0.15509999999999999</v>
      </c>
      <c r="J469" s="147">
        <f t="shared" si="115"/>
        <v>0</v>
      </c>
      <c r="K469" s="147">
        <f t="shared" si="116"/>
        <v>10.34</v>
      </c>
      <c r="L469" s="147">
        <f t="shared" si="117"/>
        <v>0.31019999999999998</v>
      </c>
      <c r="M469" s="147">
        <f t="shared" si="118"/>
        <v>10.6502</v>
      </c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113"/>
      <c r="AS469" s="113"/>
      <c r="AT469" s="113"/>
      <c r="AU469" s="113"/>
      <c r="AV469" s="113"/>
      <c r="AW469" s="113"/>
      <c r="AX469" s="113"/>
      <c r="AY469" s="113"/>
      <c r="AZ469" s="113"/>
      <c r="BA469" s="113"/>
      <c r="BB469" s="113"/>
      <c r="BC469" s="113"/>
      <c r="BD469" s="113"/>
      <c r="BE469" s="113"/>
      <c r="BF469" s="113"/>
      <c r="BG469" s="113"/>
      <c r="BH469" s="113"/>
      <c r="BI469" s="113"/>
      <c r="BJ469" s="113"/>
      <c r="BK469" s="113"/>
      <c r="BL469" s="113"/>
      <c r="BM469" s="113"/>
      <c r="BN469" s="113"/>
      <c r="BO469" s="113"/>
      <c r="BP469" s="113"/>
      <c r="BQ469" s="113"/>
      <c r="BR469" s="113"/>
      <c r="BS469" s="113"/>
      <c r="BT469" s="113"/>
      <c r="BU469" s="113"/>
      <c r="BV469" s="113"/>
      <c r="BW469" s="113"/>
      <c r="BX469" s="113"/>
      <c r="BY469" s="113"/>
      <c r="BZ469" s="113"/>
      <c r="CA469" s="113"/>
      <c r="CB469" s="113"/>
      <c r="CC469" s="113"/>
      <c r="CD469" s="113"/>
      <c r="CE469" s="113"/>
      <c r="CF469" s="113"/>
      <c r="CG469" s="113"/>
      <c r="CH469" s="113"/>
      <c r="CI469" s="113"/>
      <c r="CJ469" s="113"/>
      <c r="CK469" s="113"/>
    </row>
    <row r="470" spans="1:89" s="112" customFormat="1">
      <c r="A470" s="162"/>
      <c r="B470" s="129">
        <v>461</v>
      </c>
      <c r="C470" s="106" t="s">
        <v>108</v>
      </c>
      <c r="D470" s="124" t="s">
        <v>47</v>
      </c>
      <c r="E470" s="210">
        <v>200</v>
      </c>
      <c r="F470" s="205">
        <f>(F468+F467)*1.5</f>
        <v>116.976</v>
      </c>
      <c r="G470" s="205"/>
      <c r="H470" s="205">
        <v>0.6</v>
      </c>
      <c r="I470" s="205">
        <f t="shared" si="110"/>
        <v>1.7999999999999999E-2</v>
      </c>
      <c r="J470" s="147">
        <f t="shared" si="115"/>
        <v>0</v>
      </c>
      <c r="K470" s="147">
        <f t="shared" si="116"/>
        <v>70.185599999999994</v>
      </c>
      <c r="L470" s="147">
        <f t="shared" si="117"/>
        <v>2.1055679999999999</v>
      </c>
      <c r="M470" s="147">
        <f t="shared" si="118"/>
        <v>72.291167999999999</v>
      </c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113"/>
      <c r="AS470" s="113"/>
      <c r="AT470" s="113"/>
      <c r="AU470" s="113"/>
      <c r="AV470" s="113"/>
      <c r="AW470" s="113"/>
      <c r="AX470" s="113"/>
      <c r="AY470" s="113"/>
      <c r="AZ470" s="113"/>
      <c r="BA470" s="113"/>
      <c r="BB470" s="113"/>
      <c r="BC470" s="113"/>
      <c r="BD470" s="113"/>
      <c r="BE470" s="113"/>
      <c r="BF470" s="113"/>
      <c r="BG470" s="113"/>
      <c r="BH470" s="113"/>
      <c r="BI470" s="113"/>
      <c r="BJ470" s="113"/>
      <c r="BK470" s="113"/>
      <c r="BL470" s="113"/>
      <c r="BM470" s="113"/>
      <c r="BN470" s="113"/>
      <c r="BO470" s="113"/>
      <c r="BP470" s="113"/>
      <c r="BQ470" s="113"/>
      <c r="BR470" s="113"/>
      <c r="BS470" s="113"/>
      <c r="BT470" s="113"/>
      <c r="BU470" s="113"/>
      <c r="BV470" s="113"/>
      <c r="BW470" s="113"/>
      <c r="BX470" s="113"/>
      <c r="BY470" s="113"/>
      <c r="BZ470" s="113"/>
      <c r="CA470" s="113"/>
      <c r="CB470" s="113"/>
      <c r="CC470" s="113"/>
      <c r="CD470" s="113"/>
      <c r="CE470" s="113"/>
      <c r="CF470" s="113"/>
      <c r="CG470" s="113"/>
      <c r="CH470" s="113"/>
      <c r="CI470" s="113"/>
      <c r="CJ470" s="113"/>
      <c r="CK470" s="113"/>
    </row>
    <row r="471" spans="1:89">
      <c r="A471" s="160"/>
      <c r="B471" s="129">
        <v>462</v>
      </c>
      <c r="C471" s="131" t="s">
        <v>428</v>
      </c>
      <c r="D471" s="123"/>
      <c r="E471" s="204"/>
      <c r="F471" s="147">
        <v>23.8</v>
      </c>
      <c r="G471" s="147">
        <v>0.8</v>
      </c>
      <c r="H471" s="147"/>
      <c r="I471" s="147"/>
      <c r="J471" s="147">
        <f t="shared" si="115"/>
        <v>19.040000000000003</v>
      </c>
      <c r="K471" s="147">
        <f t="shared" si="116"/>
        <v>0</v>
      </c>
      <c r="L471" s="147">
        <f t="shared" si="117"/>
        <v>0</v>
      </c>
      <c r="M471" s="147">
        <f t="shared" si="118"/>
        <v>19.040000000000003</v>
      </c>
      <c r="CD471" s="104"/>
      <c r="CE471" s="104"/>
      <c r="CF471" s="104"/>
      <c r="CG471" s="104"/>
      <c r="CH471" s="104"/>
      <c r="CI471" s="104"/>
      <c r="CJ471" s="104"/>
      <c r="CK471" s="104"/>
    </row>
    <row r="472" spans="1:89" s="112" customFormat="1">
      <c r="A472" s="162"/>
      <c r="B472" s="129">
        <v>463</v>
      </c>
      <c r="C472" s="106" t="s">
        <v>110</v>
      </c>
      <c r="D472" s="124" t="s">
        <v>47</v>
      </c>
      <c r="E472" s="210">
        <v>382</v>
      </c>
      <c r="F472" s="205">
        <v>12</v>
      </c>
      <c r="G472" s="205"/>
      <c r="H472" s="205">
        <v>1.59</v>
      </c>
      <c r="I472" s="205">
        <f t="shared" si="110"/>
        <v>4.7699999999999999E-2</v>
      </c>
      <c r="J472" s="147">
        <f t="shared" si="115"/>
        <v>0</v>
      </c>
      <c r="K472" s="147">
        <f t="shared" si="116"/>
        <v>19.080000000000002</v>
      </c>
      <c r="L472" s="147">
        <f t="shared" si="117"/>
        <v>0.57240000000000002</v>
      </c>
      <c r="M472" s="147">
        <f t="shared" si="118"/>
        <v>19.6524</v>
      </c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113"/>
      <c r="AS472" s="113"/>
      <c r="AT472" s="113"/>
      <c r="AU472" s="113"/>
      <c r="AV472" s="113"/>
      <c r="AW472" s="113"/>
      <c r="AX472" s="113"/>
      <c r="AY472" s="113"/>
      <c r="AZ472" s="113"/>
      <c r="BA472" s="113"/>
      <c r="BB472" s="113"/>
      <c r="BC472" s="113"/>
      <c r="BD472" s="113"/>
      <c r="BE472" s="113"/>
      <c r="BF472" s="113"/>
      <c r="BG472" s="113"/>
      <c r="BH472" s="113"/>
      <c r="BI472" s="113"/>
      <c r="BJ472" s="113"/>
      <c r="BK472" s="113"/>
      <c r="BL472" s="113"/>
      <c r="BM472" s="113"/>
      <c r="BN472" s="113"/>
      <c r="BO472" s="113"/>
      <c r="BP472" s="113"/>
      <c r="BQ472" s="113"/>
      <c r="BR472" s="113"/>
      <c r="BS472" s="113"/>
      <c r="BT472" s="113"/>
      <c r="BU472" s="113"/>
      <c r="BV472" s="113"/>
      <c r="BW472" s="113"/>
      <c r="BX472" s="113"/>
      <c r="BY472" s="113"/>
      <c r="BZ472" s="113"/>
      <c r="CA472" s="113"/>
      <c r="CB472" s="113"/>
      <c r="CC472" s="113"/>
      <c r="CD472" s="113"/>
      <c r="CE472" s="113"/>
      <c r="CF472" s="113"/>
      <c r="CG472" s="113"/>
      <c r="CH472" s="113"/>
      <c r="CI472" s="113"/>
      <c r="CJ472" s="113"/>
      <c r="CK472" s="113"/>
    </row>
    <row r="473" spans="1:89" ht="25.5" customHeight="1">
      <c r="B473" s="129">
        <v>464</v>
      </c>
      <c r="C473" s="146" t="s">
        <v>429</v>
      </c>
      <c r="D473" s="123" t="s">
        <v>6</v>
      </c>
      <c r="E473" s="123"/>
      <c r="F473" s="147">
        <v>23.8</v>
      </c>
      <c r="G473" s="147">
        <v>0.65</v>
      </c>
      <c r="H473" s="147"/>
      <c r="I473" s="205">
        <f t="shared" si="110"/>
        <v>6.5000000000000002E-2</v>
      </c>
      <c r="J473" s="147">
        <f t="shared" si="115"/>
        <v>15.47</v>
      </c>
      <c r="K473" s="147">
        <f t="shared" si="116"/>
        <v>0</v>
      </c>
      <c r="L473" s="147">
        <f t="shared" si="117"/>
        <v>1.5470000000000002</v>
      </c>
      <c r="M473" s="147">
        <f t="shared" si="118"/>
        <v>17.016999999999999</v>
      </c>
      <c r="N473" s="130"/>
      <c r="CD473" s="104"/>
      <c r="CE473" s="104"/>
      <c r="CF473" s="104"/>
      <c r="CG473" s="104"/>
      <c r="CH473" s="104"/>
      <c r="CI473" s="104"/>
      <c r="CJ473" s="104"/>
      <c r="CK473" s="104"/>
    </row>
    <row r="474" spans="1:89">
      <c r="B474" s="129">
        <v>465</v>
      </c>
      <c r="C474" s="106" t="s">
        <v>392</v>
      </c>
      <c r="D474" s="123" t="s">
        <v>47</v>
      </c>
      <c r="E474" s="129"/>
      <c r="F474" s="147">
        <f>1.5*F473</f>
        <v>35.700000000000003</v>
      </c>
      <c r="G474" s="147"/>
      <c r="H474" s="147">
        <v>0.6</v>
      </c>
      <c r="I474" s="205">
        <f t="shared" si="110"/>
        <v>1.7999999999999999E-2</v>
      </c>
      <c r="J474" s="147">
        <f t="shared" si="115"/>
        <v>0</v>
      </c>
      <c r="K474" s="147">
        <f t="shared" si="116"/>
        <v>21.42</v>
      </c>
      <c r="L474" s="147">
        <f t="shared" si="117"/>
        <v>0.64259999999999995</v>
      </c>
      <c r="M474" s="147">
        <f t="shared" si="118"/>
        <v>22.062600000000003</v>
      </c>
      <c r="CD474" s="104"/>
      <c r="CE474" s="104"/>
      <c r="CF474" s="104"/>
      <c r="CG474" s="104"/>
      <c r="CH474" s="104"/>
      <c r="CI474" s="104"/>
      <c r="CJ474" s="104"/>
      <c r="CK474" s="104"/>
    </row>
    <row r="475" spans="1:89">
      <c r="B475" s="129">
        <v>466</v>
      </c>
      <c r="C475" s="131" t="s">
        <v>393</v>
      </c>
      <c r="D475" s="123" t="s">
        <v>6</v>
      </c>
      <c r="E475" s="129"/>
      <c r="F475" s="147">
        <v>23.8</v>
      </c>
      <c r="G475" s="147">
        <v>0.55000000000000004</v>
      </c>
      <c r="H475" s="147"/>
      <c r="I475" s="205">
        <f t="shared" si="110"/>
        <v>5.5000000000000007E-2</v>
      </c>
      <c r="J475" s="147">
        <f t="shared" si="115"/>
        <v>13.090000000000002</v>
      </c>
      <c r="K475" s="147">
        <f t="shared" si="116"/>
        <v>0</v>
      </c>
      <c r="L475" s="147">
        <f t="shared" si="117"/>
        <v>1.3090000000000002</v>
      </c>
      <c r="M475" s="147">
        <f t="shared" si="118"/>
        <v>14.399000000000001</v>
      </c>
      <c r="CD475" s="104"/>
      <c r="CE475" s="104"/>
      <c r="CF475" s="104"/>
      <c r="CG475" s="104"/>
      <c r="CH475" s="104"/>
      <c r="CI475" s="104"/>
      <c r="CJ475" s="104"/>
      <c r="CK475" s="104"/>
    </row>
    <row r="476" spans="1:89">
      <c r="B476" s="129">
        <v>467</v>
      </c>
      <c r="C476" s="106" t="s">
        <v>94</v>
      </c>
      <c r="D476" s="123" t="s">
        <v>47</v>
      </c>
      <c r="E476" s="129"/>
      <c r="F476" s="147">
        <f>4*F475</f>
        <v>95.2</v>
      </c>
      <c r="G476" s="147"/>
      <c r="H476" s="147">
        <v>0.45</v>
      </c>
      <c r="I476" s="205">
        <f t="shared" si="110"/>
        <v>1.35E-2</v>
      </c>
      <c r="J476" s="147">
        <f t="shared" si="115"/>
        <v>0</v>
      </c>
      <c r="K476" s="147">
        <f t="shared" si="116"/>
        <v>42.84</v>
      </c>
      <c r="L476" s="147">
        <f t="shared" si="117"/>
        <v>1.2852000000000001</v>
      </c>
      <c r="M476" s="147">
        <f t="shared" si="118"/>
        <v>44.125200000000007</v>
      </c>
      <c r="CD476" s="104"/>
      <c r="CE476" s="104"/>
      <c r="CF476" s="104"/>
      <c r="CG476" s="104"/>
      <c r="CH476" s="104"/>
      <c r="CI476" s="104"/>
      <c r="CJ476" s="104"/>
      <c r="CK476" s="104"/>
    </row>
    <row r="477" spans="1:89" ht="25.5" customHeight="1">
      <c r="A477" s="160"/>
      <c r="B477" s="129">
        <v>468</v>
      </c>
      <c r="C477" s="146" t="s">
        <v>507</v>
      </c>
      <c r="D477" s="123" t="s">
        <v>6</v>
      </c>
      <c r="E477" s="204">
        <v>155.5</v>
      </c>
      <c r="F477" s="147">
        <v>23.8</v>
      </c>
      <c r="G477" s="147">
        <v>10.4</v>
      </c>
      <c r="H477" s="147"/>
      <c r="I477" s="205">
        <f t="shared" si="110"/>
        <v>1.04</v>
      </c>
      <c r="J477" s="147">
        <f t="shared" si="115"/>
        <v>247.52</v>
      </c>
      <c r="K477" s="147">
        <f t="shared" si="116"/>
        <v>0</v>
      </c>
      <c r="L477" s="147">
        <f t="shared" si="117"/>
        <v>24.752000000000002</v>
      </c>
      <c r="M477" s="147">
        <f t="shared" si="118"/>
        <v>272.27199999999999</v>
      </c>
      <c r="CD477" s="104"/>
      <c r="CE477" s="104"/>
      <c r="CF477" s="104"/>
      <c r="CG477" s="104"/>
      <c r="CH477" s="104"/>
      <c r="CI477" s="104"/>
      <c r="CJ477" s="104"/>
      <c r="CK477" s="104"/>
    </row>
    <row r="478" spans="1:89">
      <c r="B478" s="129">
        <v>469</v>
      </c>
      <c r="C478" s="106" t="s">
        <v>396</v>
      </c>
      <c r="D478" s="123"/>
      <c r="E478" s="129"/>
      <c r="F478" s="147">
        <f>23.8*1.03</f>
        <v>24.514000000000003</v>
      </c>
      <c r="G478" s="147"/>
      <c r="H478" s="147">
        <v>11.8</v>
      </c>
      <c r="I478" s="205">
        <f>(G478*0.1)+(H478*0.03)</f>
        <v>0.35399999999999998</v>
      </c>
      <c r="J478" s="147">
        <f t="shared" si="115"/>
        <v>0</v>
      </c>
      <c r="K478" s="147">
        <f t="shared" si="116"/>
        <v>289.26520000000005</v>
      </c>
      <c r="L478" s="147">
        <f t="shared" si="117"/>
        <v>8.677956</v>
      </c>
      <c r="M478" s="147">
        <f t="shared" si="118"/>
        <v>297.94315600000004</v>
      </c>
      <c r="CD478" s="104"/>
      <c r="CE478" s="104"/>
      <c r="CF478" s="104"/>
      <c r="CG478" s="104"/>
      <c r="CH478" s="104"/>
      <c r="CI478" s="104"/>
      <c r="CJ478" s="104"/>
      <c r="CK478" s="104"/>
    </row>
    <row r="479" spans="1:89">
      <c r="A479" s="104"/>
      <c r="B479" s="129">
        <v>470</v>
      </c>
      <c r="C479" s="106" t="s">
        <v>49</v>
      </c>
      <c r="D479" s="123"/>
      <c r="E479" s="204"/>
      <c r="F479" s="147">
        <f>F477/2</f>
        <v>11.9</v>
      </c>
      <c r="G479" s="147"/>
      <c r="H479" s="147">
        <v>0.33</v>
      </c>
      <c r="I479" s="205">
        <f>(G479*0.1)+(H479*0.03)</f>
        <v>9.9000000000000008E-3</v>
      </c>
      <c r="J479" s="147">
        <f t="shared" si="115"/>
        <v>0</v>
      </c>
      <c r="K479" s="147">
        <f t="shared" si="116"/>
        <v>3.9270000000000005</v>
      </c>
      <c r="L479" s="147">
        <f t="shared" si="117"/>
        <v>0.11781000000000001</v>
      </c>
      <c r="M479" s="147">
        <f t="shared" si="118"/>
        <v>4.0448100000000009</v>
      </c>
      <c r="CD479" s="104"/>
      <c r="CE479" s="104"/>
      <c r="CF479" s="104"/>
      <c r="CG479" s="104"/>
      <c r="CH479" s="104"/>
      <c r="CI479" s="104"/>
      <c r="CJ479" s="104"/>
      <c r="CK479" s="104"/>
    </row>
    <row r="480" spans="1:89">
      <c r="A480" s="104"/>
      <c r="B480" s="129">
        <v>471</v>
      </c>
      <c r="C480" s="106" t="s">
        <v>118</v>
      </c>
      <c r="D480" s="123"/>
      <c r="E480" s="204"/>
      <c r="F480" s="147">
        <f>F477/10</f>
        <v>2.38</v>
      </c>
      <c r="G480" s="147"/>
      <c r="H480" s="147">
        <v>0.55000000000000004</v>
      </c>
      <c r="I480" s="205">
        <f>(G480*0.1)+(H480*0.03)</f>
        <v>1.6500000000000001E-2</v>
      </c>
      <c r="J480" s="147">
        <f t="shared" si="115"/>
        <v>0</v>
      </c>
      <c r="K480" s="147">
        <f t="shared" si="116"/>
        <v>1.3089999999999999</v>
      </c>
      <c r="L480" s="147">
        <f t="shared" si="117"/>
        <v>3.9269999999999999E-2</v>
      </c>
      <c r="M480" s="147">
        <f t="shared" si="118"/>
        <v>1.3482699999999999</v>
      </c>
      <c r="CD480" s="104"/>
      <c r="CE480" s="104"/>
      <c r="CF480" s="104"/>
      <c r="CG480" s="104"/>
      <c r="CH480" s="104"/>
      <c r="CI480" s="104"/>
      <c r="CJ480" s="104"/>
      <c r="CK480" s="104"/>
    </row>
    <row r="481" spans="1:89">
      <c r="B481" s="129">
        <v>472</v>
      </c>
      <c r="C481" s="106" t="s">
        <v>119</v>
      </c>
      <c r="D481" s="123"/>
      <c r="E481" s="129"/>
      <c r="F481" s="147">
        <f>0.25*F477</f>
        <v>5.95</v>
      </c>
      <c r="G481" s="147"/>
      <c r="H481" s="147">
        <v>4.8</v>
      </c>
      <c r="I481" s="205">
        <f>(G481*0.1)+(H481*0.03)</f>
        <v>0.14399999999999999</v>
      </c>
      <c r="J481" s="147">
        <f t="shared" si="115"/>
        <v>0</v>
      </c>
      <c r="K481" s="147">
        <f t="shared" si="116"/>
        <v>28.56</v>
      </c>
      <c r="L481" s="147">
        <f t="shared" si="117"/>
        <v>0.85680000000000001</v>
      </c>
      <c r="M481" s="147">
        <f t="shared" si="118"/>
        <v>29.416799999999999</v>
      </c>
      <c r="CD481" s="104"/>
      <c r="CE481" s="104"/>
      <c r="CF481" s="104"/>
      <c r="CG481" s="104"/>
      <c r="CH481" s="104"/>
      <c r="CI481" s="104"/>
      <c r="CJ481" s="104"/>
      <c r="CK481" s="104"/>
    </row>
    <row r="482" spans="1:89">
      <c r="A482" s="160"/>
      <c r="B482" s="129">
        <v>473</v>
      </c>
      <c r="C482" s="131" t="s">
        <v>111</v>
      </c>
      <c r="D482" s="123" t="s">
        <v>6</v>
      </c>
      <c r="E482" s="204">
        <v>400</v>
      </c>
      <c r="F482" s="147">
        <v>54.18</v>
      </c>
      <c r="G482" s="147">
        <v>0.8</v>
      </c>
      <c r="H482" s="147"/>
      <c r="I482" s="205">
        <f t="shared" si="110"/>
        <v>8.0000000000000016E-2</v>
      </c>
      <c r="J482" s="147">
        <f t="shared" si="115"/>
        <v>43.344000000000001</v>
      </c>
      <c r="K482" s="147">
        <f t="shared" si="116"/>
        <v>0</v>
      </c>
      <c r="L482" s="147">
        <f t="shared" si="117"/>
        <v>4.3344000000000005</v>
      </c>
      <c r="M482" s="147">
        <f t="shared" si="118"/>
        <v>47.678400000000003</v>
      </c>
      <c r="CD482" s="104"/>
      <c r="CE482" s="104"/>
      <c r="CF482" s="104"/>
      <c r="CG482" s="104"/>
      <c r="CH482" s="104"/>
      <c r="CI482" s="104"/>
      <c r="CJ482" s="104"/>
      <c r="CK482" s="104"/>
    </row>
    <row r="483" spans="1:89" s="112" customFormat="1">
      <c r="A483" s="162"/>
      <c r="B483" s="129">
        <v>474</v>
      </c>
      <c r="C483" s="106" t="s">
        <v>225</v>
      </c>
      <c r="D483" s="124" t="s">
        <v>6</v>
      </c>
      <c r="E483" s="210">
        <v>400</v>
      </c>
      <c r="F483" s="205">
        <f>F482*1.1</f>
        <v>59.598000000000006</v>
      </c>
      <c r="G483" s="205"/>
      <c r="H483" s="205">
        <v>0.37</v>
      </c>
      <c r="I483" s="205">
        <f t="shared" si="110"/>
        <v>1.1099999999999999E-2</v>
      </c>
      <c r="J483" s="147">
        <f t="shared" si="115"/>
        <v>0</v>
      </c>
      <c r="K483" s="147">
        <f t="shared" si="116"/>
        <v>22.051260000000003</v>
      </c>
      <c r="L483" s="147">
        <f t="shared" si="117"/>
        <v>0.66153779999999995</v>
      </c>
      <c r="M483" s="147">
        <f t="shared" si="118"/>
        <v>22.712797800000004</v>
      </c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3"/>
      <c r="AC483" s="113"/>
      <c r="AD483" s="113"/>
      <c r="AE483" s="113"/>
      <c r="AF483" s="113"/>
      <c r="AG483" s="113"/>
      <c r="AH483" s="113"/>
      <c r="AI483" s="113"/>
      <c r="AJ483" s="113"/>
      <c r="AK483" s="113"/>
      <c r="AL483" s="113"/>
      <c r="AM483" s="113"/>
      <c r="AN483" s="113"/>
      <c r="AO483" s="113"/>
      <c r="AP483" s="113"/>
      <c r="AQ483" s="113"/>
      <c r="AR483" s="113"/>
      <c r="AS483" s="113"/>
      <c r="AT483" s="113"/>
      <c r="AU483" s="113"/>
      <c r="AV483" s="113"/>
      <c r="AW483" s="113"/>
      <c r="AX483" s="113"/>
      <c r="AY483" s="113"/>
      <c r="AZ483" s="113"/>
      <c r="BA483" s="113"/>
      <c r="BB483" s="113"/>
      <c r="BC483" s="113"/>
      <c r="BD483" s="113"/>
      <c r="BE483" s="113"/>
      <c r="BF483" s="113"/>
      <c r="BG483" s="113"/>
      <c r="BH483" s="113"/>
      <c r="BI483" s="113"/>
      <c r="BJ483" s="113"/>
      <c r="BK483" s="113"/>
      <c r="BL483" s="113"/>
      <c r="BM483" s="113"/>
      <c r="BN483" s="113"/>
      <c r="BO483" s="113"/>
      <c r="BP483" s="113"/>
      <c r="BQ483" s="113"/>
      <c r="BR483" s="113"/>
      <c r="BS483" s="113"/>
      <c r="BT483" s="113"/>
      <c r="BU483" s="113"/>
      <c r="BV483" s="113"/>
      <c r="BW483" s="113"/>
      <c r="BX483" s="113"/>
      <c r="BY483" s="113"/>
      <c r="BZ483" s="113"/>
      <c r="CA483" s="113"/>
      <c r="CB483" s="113"/>
      <c r="CC483" s="113"/>
      <c r="CD483" s="113"/>
      <c r="CE483" s="113"/>
      <c r="CF483" s="113"/>
      <c r="CG483" s="113"/>
      <c r="CH483" s="113"/>
      <c r="CI483" s="113"/>
      <c r="CJ483" s="113"/>
      <c r="CK483" s="113"/>
    </row>
    <row r="484" spans="1:89">
      <c r="A484" s="160"/>
      <c r="B484" s="129">
        <v>475</v>
      </c>
      <c r="C484" s="131" t="s">
        <v>120</v>
      </c>
      <c r="D484" s="123" t="s">
        <v>114</v>
      </c>
      <c r="E484" s="204">
        <v>252</v>
      </c>
      <c r="F484" s="147">
        <f>F485+F486</f>
        <v>25.839999999999996</v>
      </c>
      <c r="G484" s="147">
        <v>1.1000000000000001</v>
      </c>
      <c r="H484" s="147"/>
      <c r="I484" s="205">
        <f t="shared" si="110"/>
        <v>0.11000000000000001</v>
      </c>
      <c r="J484" s="147">
        <f t="shared" si="115"/>
        <v>28.423999999999999</v>
      </c>
      <c r="K484" s="147">
        <f t="shared" si="116"/>
        <v>0</v>
      </c>
      <c r="L484" s="147">
        <f t="shared" si="117"/>
        <v>2.8424</v>
      </c>
      <c r="M484" s="147">
        <f t="shared" si="118"/>
        <v>31.266400000000001</v>
      </c>
      <c r="CD484" s="104"/>
      <c r="CE484" s="104"/>
      <c r="CF484" s="104"/>
      <c r="CG484" s="104"/>
      <c r="CH484" s="104"/>
      <c r="CI484" s="104"/>
      <c r="CJ484" s="104"/>
      <c r="CK484" s="104"/>
    </row>
    <row r="485" spans="1:89" s="112" customFormat="1">
      <c r="A485" s="162"/>
      <c r="B485" s="129">
        <v>476</v>
      </c>
      <c r="C485" s="106" t="s">
        <v>121</v>
      </c>
      <c r="D485" s="124" t="s">
        <v>114</v>
      </c>
      <c r="E485" s="210">
        <v>162</v>
      </c>
      <c r="F485" s="205">
        <f>(0.52+4.6+0.3+5)*2</f>
        <v>20.839999999999996</v>
      </c>
      <c r="G485" s="205"/>
      <c r="H485" s="205">
        <v>1.85</v>
      </c>
      <c r="I485" s="205">
        <f t="shared" si="110"/>
        <v>5.5500000000000001E-2</v>
      </c>
      <c r="J485" s="147">
        <f t="shared" si="115"/>
        <v>0</v>
      </c>
      <c r="K485" s="147">
        <f t="shared" si="116"/>
        <v>38.553999999999995</v>
      </c>
      <c r="L485" s="147">
        <f t="shared" si="117"/>
        <v>1.1566199999999998</v>
      </c>
      <c r="M485" s="147">
        <f t="shared" si="118"/>
        <v>39.710619999999992</v>
      </c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113"/>
      <c r="AS485" s="113"/>
      <c r="AT485" s="113"/>
      <c r="AU485" s="113"/>
      <c r="AV485" s="113"/>
      <c r="AW485" s="113"/>
      <c r="AX485" s="113"/>
      <c r="AY485" s="113"/>
      <c r="AZ485" s="113"/>
      <c r="BA485" s="113"/>
      <c r="BB485" s="113"/>
      <c r="BC485" s="113"/>
      <c r="BD485" s="113"/>
      <c r="BE485" s="113"/>
      <c r="BF485" s="113"/>
      <c r="BG485" s="113"/>
      <c r="BH485" s="113"/>
      <c r="BI485" s="113"/>
      <c r="BJ485" s="113"/>
      <c r="BK485" s="113"/>
      <c r="BL485" s="113"/>
      <c r="BM485" s="113"/>
      <c r="BN485" s="113"/>
      <c r="BO485" s="113"/>
      <c r="BP485" s="113"/>
      <c r="BQ485" s="113"/>
      <c r="BR485" s="113"/>
      <c r="BS485" s="113"/>
      <c r="BT485" s="113"/>
      <c r="BU485" s="113"/>
      <c r="BV485" s="113"/>
      <c r="BW485" s="113"/>
      <c r="BX485" s="113"/>
      <c r="BY485" s="113"/>
      <c r="BZ485" s="113"/>
      <c r="CA485" s="113"/>
      <c r="CB485" s="113"/>
      <c r="CC485" s="113"/>
      <c r="CD485" s="113"/>
      <c r="CE485" s="113"/>
      <c r="CF485" s="113"/>
      <c r="CG485" s="113"/>
      <c r="CH485" s="113"/>
      <c r="CI485" s="113"/>
      <c r="CJ485" s="113"/>
      <c r="CK485" s="113"/>
    </row>
    <row r="486" spans="1:89" s="112" customFormat="1">
      <c r="A486" s="162"/>
      <c r="B486" s="129">
        <v>477</v>
      </c>
      <c r="C486" s="106" t="s">
        <v>122</v>
      </c>
      <c r="D486" s="124" t="s">
        <v>114</v>
      </c>
      <c r="E486" s="210">
        <v>90</v>
      </c>
      <c r="F486" s="205">
        <v>5</v>
      </c>
      <c r="G486" s="205"/>
      <c r="H486" s="205">
        <v>1.85</v>
      </c>
      <c r="I486" s="205">
        <f t="shared" si="110"/>
        <v>5.5500000000000001E-2</v>
      </c>
      <c r="J486" s="147">
        <f t="shared" si="115"/>
        <v>0</v>
      </c>
      <c r="K486" s="147">
        <f t="shared" si="116"/>
        <v>9.25</v>
      </c>
      <c r="L486" s="147">
        <f t="shared" si="117"/>
        <v>0.27750000000000002</v>
      </c>
      <c r="M486" s="147">
        <f t="shared" si="118"/>
        <v>9.5274999999999999</v>
      </c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113"/>
      <c r="AE486" s="113"/>
      <c r="AF486" s="113"/>
      <c r="AG486" s="113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113"/>
      <c r="AS486" s="113"/>
      <c r="AT486" s="113"/>
      <c r="AU486" s="113"/>
      <c r="AV486" s="113"/>
      <c r="AW486" s="113"/>
      <c r="AX486" s="113"/>
      <c r="AY486" s="113"/>
      <c r="AZ486" s="113"/>
      <c r="BA486" s="113"/>
      <c r="BB486" s="113"/>
      <c r="BC486" s="113"/>
      <c r="BD486" s="113"/>
      <c r="BE486" s="113"/>
      <c r="BF486" s="113"/>
      <c r="BG486" s="113"/>
      <c r="BH486" s="113"/>
      <c r="BI486" s="113"/>
      <c r="BJ486" s="113"/>
      <c r="BK486" s="113"/>
      <c r="BL486" s="113"/>
      <c r="BM486" s="113"/>
      <c r="BN486" s="113"/>
      <c r="BO486" s="113"/>
      <c r="BP486" s="113"/>
      <c r="BQ486" s="113"/>
      <c r="BR486" s="113"/>
      <c r="BS486" s="113"/>
      <c r="BT486" s="113"/>
      <c r="BU486" s="113"/>
      <c r="BV486" s="113"/>
      <c r="BW486" s="113"/>
      <c r="BX486" s="113"/>
      <c r="BY486" s="113"/>
      <c r="BZ486" s="113"/>
      <c r="CA486" s="113"/>
      <c r="CB486" s="113"/>
      <c r="CC486" s="113"/>
      <c r="CD486" s="113"/>
      <c r="CE486" s="113"/>
      <c r="CF486" s="113"/>
      <c r="CG486" s="113"/>
      <c r="CH486" s="113"/>
      <c r="CI486" s="113"/>
      <c r="CJ486" s="113"/>
      <c r="CK486" s="113"/>
    </row>
    <row r="487" spans="1:89" s="112" customFormat="1">
      <c r="A487" s="162"/>
      <c r="B487" s="129">
        <v>478</v>
      </c>
      <c r="C487" s="106" t="s">
        <v>39</v>
      </c>
      <c r="D487" s="124" t="s">
        <v>83</v>
      </c>
      <c r="E487" s="210">
        <v>252</v>
      </c>
      <c r="F487" s="205">
        <v>42</v>
      </c>
      <c r="G487" s="205"/>
      <c r="H487" s="205">
        <v>0.44</v>
      </c>
      <c r="I487" s="205">
        <f t="shared" si="110"/>
        <v>1.32E-2</v>
      </c>
      <c r="J487" s="147">
        <f t="shared" si="115"/>
        <v>0</v>
      </c>
      <c r="K487" s="147">
        <f t="shared" si="116"/>
        <v>18.48</v>
      </c>
      <c r="L487" s="147">
        <f t="shared" si="117"/>
        <v>0.5544</v>
      </c>
      <c r="M487" s="147">
        <f t="shared" si="118"/>
        <v>19.034400000000002</v>
      </c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3"/>
      <c r="AE487" s="113"/>
      <c r="AF487" s="113"/>
      <c r="AG487" s="113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113"/>
      <c r="AS487" s="113"/>
      <c r="AT487" s="113"/>
      <c r="AU487" s="113"/>
      <c r="AV487" s="113"/>
      <c r="AW487" s="113"/>
      <c r="AX487" s="113"/>
      <c r="AY487" s="113"/>
      <c r="AZ487" s="113"/>
      <c r="BA487" s="113"/>
      <c r="BB487" s="113"/>
      <c r="BC487" s="113"/>
      <c r="BD487" s="113"/>
      <c r="BE487" s="113"/>
      <c r="BF487" s="113"/>
      <c r="BG487" s="113"/>
      <c r="BH487" s="113"/>
      <c r="BI487" s="113"/>
      <c r="BJ487" s="113"/>
      <c r="BK487" s="113"/>
      <c r="BL487" s="113"/>
      <c r="BM487" s="113"/>
      <c r="BN487" s="113"/>
      <c r="BO487" s="113"/>
      <c r="BP487" s="113"/>
      <c r="BQ487" s="113"/>
      <c r="BR487" s="113"/>
      <c r="BS487" s="113"/>
      <c r="BT487" s="113"/>
      <c r="BU487" s="113"/>
      <c r="BV487" s="113"/>
      <c r="BW487" s="113"/>
      <c r="BX487" s="113"/>
      <c r="BY487" s="113"/>
      <c r="BZ487" s="113"/>
      <c r="CA487" s="113"/>
      <c r="CB487" s="113"/>
      <c r="CC487" s="113"/>
      <c r="CD487" s="113"/>
      <c r="CE487" s="113"/>
      <c r="CF487" s="113"/>
      <c r="CG487" s="113"/>
      <c r="CH487" s="113"/>
      <c r="CI487" s="113"/>
      <c r="CJ487" s="113"/>
      <c r="CK487" s="113"/>
    </row>
    <row r="488" spans="1:89" s="112" customFormat="1">
      <c r="A488" s="162"/>
      <c r="B488" s="129">
        <v>479</v>
      </c>
      <c r="C488" s="106" t="s">
        <v>119</v>
      </c>
      <c r="D488" s="124" t="s">
        <v>47</v>
      </c>
      <c r="E488" s="210">
        <v>20</v>
      </c>
      <c r="F488" s="205">
        <f>0.25*(F486+F485)*0.07</f>
        <v>0.45219999999999999</v>
      </c>
      <c r="G488" s="205"/>
      <c r="H488" s="205">
        <v>4.87</v>
      </c>
      <c r="I488" s="205">
        <f t="shared" si="110"/>
        <v>0.14610000000000001</v>
      </c>
      <c r="J488" s="147">
        <f t="shared" si="115"/>
        <v>0</v>
      </c>
      <c r="K488" s="147">
        <f t="shared" si="116"/>
        <v>2.2022140000000001</v>
      </c>
      <c r="L488" s="147">
        <f t="shared" si="117"/>
        <v>6.6066420000000001E-2</v>
      </c>
      <c r="M488" s="147">
        <f t="shared" si="118"/>
        <v>2.26828042</v>
      </c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3"/>
      <c r="AC488" s="113"/>
      <c r="AD488" s="113"/>
      <c r="AE488" s="113"/>
      <c r="AF488" s="113"/>
      <c r="AG488" s="113"/>
      <c r="AH488" s="113"/>
      <c r="AI488" s="113"/>
      <c r="AJ488" s="113"/>
      <c r="AK488" s="113"/>
      <c r="AL488" s="113"/>
      <c r="AM488" s="113"/>
      <c r="AN488" s="113"/>
      <c r="AO488" s="113"/>
      <c r="AP488" s="113"/>
      <c r="AQ488" s="113"/>
      <c r="AR488" s="113"/>
      <c r="AS488" s="113"/>
      <c r="AT488" s="113"/>
      <c r="AU488" s="113"/>
      <c r="AV488" s="113"/>
      <c r="AW488" s="113"/>
      <c r="AX488" s="113"/>
      <c r="AY488" s="113"/>
      <c r="AZ488" s="113"/>
      <c r="BA488" s="113"/>
      <c r="BB488" s="113"/>
      <c r="BC488" s="113"/>
      <c r="BD488" s="113"/>
      <c r="BE488" s="113"/>
      <c r="BF488" s="113"/>
      <c r="BG488" s="113"/>
      <c r="BH488" s="113"/>
      <c r="BI488" s="113"/>
      <c r="BJ488" s="113"/>
      <c r="BK488" s="113"/>
      <c r="BL488" s="113"/>
      <c r="BM488" s="113"/>
      <c r="BN488" s="113"/>
      <c r="BO488" s="113"/>
      <c r="BP488" s="113"/>
      <c r="BQ488" s="113"/>
      <c r="BR488" s="113"/>
      <c r="BS488" s="113"/>
      <c r="BT488" s="113"/>
      <c r="BU488" s="113"/>
      <c r="BV488" s="113"/>
      <c r="BW488" s="113"/>
      <c r="BX488" s="113"/>
      <c r="BY488" s="113"/>
      <c r="BZ488" s="113"/>
      <c r="CA488" s="113"/>
      <c r="CB488" s="113"/>
      <c r="CC488" s="113"/>
      <c r="CD488" s="113"/>
      <c r="CE488" s="113"/>
      <c r="CF488" s="113"/>
      <c r="CG488" s="113"/>
      <c r="CH488" s="113"/>
      <c r="CI488" s="113"/>
      <c r="CJ488" s="113"/>
      <c r="CK488" s="113"/>
    </row>
    <row r="489" spans="1:89" s="140" customFormat="1">
      <c r="A489" s="161"/>
      <c r="B489" s="129">
        <v>480</v>
      </c>
      <c r="C489" s="182" t="s">
        <v>474</v>
      </c>
      <c r="D489" s="137"/>
      <c r="E489" s="209"/>
      <c r="F489" s="206"/>
      <c r="G489" s="206"/>
      <c r="H489" s="206"/>
      <c r="I489" s="206"/>
      <c r="J489" s="147">
        <f t="shared" ref="J489:J512" si="119">F489*G489</f>
        <v>0</v>
      </c>
      <c r="K489" s="147">
        <f t="shared" ref="K489:K512" si="120">F489*H489</f>
        <v>0</v>
      </c>
      <c r="L489" s="147">
        <f t="shared" ref="L489:L512" si="121">F489*I489</f>
        <v>0</v>
      </c>
      <c r="M489" s="147">
        <f t="shared" ref="M489:M512" si="122">J489+K489+L489</f>
        <v>0</v>
      </c>
      <c r="O489" s="139"/>
      <c r="P489" s="139"/>
      <c r="Q489" s="139"/>
      <c r="R489" s="139"/>
      <c r="S489" s="139"/>
      <c r="T489" s="139"/>
      <c r="U489" s="139"/>
      <c r="V489" s="139"/>
      <c r="W489" s="139"/>
      <c r="X489" s="139"/>
      <c r="Y489" s="139"/>
      <c r="Z489" s="139"/>
      <c r="AA489" s="139"/>
      <c r="AB489" s="139"/>
      <c r="AC489" s="139"/>
      <c r="AD489" s="139"/>
      <c r="AE489" s="139"/>
      <c r="AF489" s="139"/>
      <c r="AG489" s="139"/>
      <c r="AH489" s="139"/>
      <c r="AI489" s="139"/>
      <c r="AJ489" s="139"/>
      <c r="AK489" s="139"/>
      <c r="AL489" s="139"/>
      <c r="AM489" s="139"/>
      <c r="AN489" s="139"/>
      <c r="AO489" s="139"/>
      <c r="AP489" s="139"/>
      <c r="AQ489" s="139"/>
      <c r="AR489" s="139"/>
      <c r="AS489" s="139"/>
      <c r="AT489" s="139"/>
      <c r="AU489" s="139"/>
      <c r="AV489" s="139"/>
      <c r="AW489" s="139"/>
      <c r="AX489" s="139"/>
      <c r="AY489" s="139"/>
      <c r="AZ489" s="139"/>
      <c r="BA489" s="139"/>
      <c r="BB489" s="139"/>
      <c r="BC489" s="139"/>
      <c r="BD489" s="139"/>
      <c r="BE489" s="139"/>
      <c r="BF489" s="139"/>
      <c r="BG489" s="139"/>
      <c r="BH489" s="139"/>
      <c r="BI489" s="139"/>
      <c r="BJ489" s="139"/>
      <c r="BK489" s="139"/>
      <c r="BL489" s="139"/>
      <c r="BM489" s="139"/>
      <c r="BN489" s="139"/>
      <c r="BO489" s="139"/>
      <c r="BP489" s="139"/>
      <c r="BQ489" s="139"/>
      <c r="BR489" s="139"/>
      <c r="BS489" s="139"/>
      <c r="BT489" s="139"/>
      <c r="BU489" s="139"/>
      <c r="BV489" s="139"/>
      <c r="BW489" s="139"/>
      <c r="BX489" s="139"/>
      <c r="BY489" s="139"/>
      <c r="BZ489" s="139"/>
      <c r="CA489" s="139"/>
      <c r="CB489" s="139"/>
      <c r="CC489" s="139"/>
      <c r="CD489" s="139"/>
      <c r="CE489" s="139"/>
      <c r="CF489" s="139"/>
      <c r="CG489" s="139"/>
      <c r="CH489" s="139"/>
      <c r="CI489" s="139"/>
      <c r="CJ489" s="139"/>
      <c r="CK489" s="139"/>
    </row>
    <row r="490" spans="1:89" ht="24">
      <c r="A490" s="160"/>
      <c r="B490" s="129">
        <v>481</v>
      </c>
      <c r="C490" s="143" t="s">
        <v>473</v>
      </c>
      <c r="D490" s="123" t="s">
        <v>6</v>
      </c>
      <c r="E490" s="147">
        <v>570</v>
      </c>
      <c r="F490" s="147">
        <f>7.4*2.6</f>
        <v>19.240000000000002</v>
      </c>
      <c r="G490" s="147">
        <v>1.85</v>
      </c>
      <c r="H490" s="147"/>
      <c r="I490" s="205">
        <f>(G490*0.1)+(H490*0.03)</f>
        <v>0.18500000000000003</v>
      </c>
      <c r="J490" s="147">
        <f t="shared" si="119"/>
        <v>35.594000000000008</v>
      </c>
      <c r="K490" s="147">
        <f t="shared" si="120"/>
        <v>0</v>
      </c>
      <c r="L490" s="147">
        <f t="shared" si="121"/>
        <v>3.559400000000001</v>
      </c>
      <c r="M490" s="147">
        <f t="shared" si="122"/>
        <v>39.153400000000012</v>
      </c>
      <c r="N490" s="130"/>
      <c r="CD490" s="104"/>
      <c r="CE490" s="104"/>
      <c r="CF490" s="104"/>
      <c r="CG490" s="104"/>
      <c r="CH490" s="104"/>
      <c r="CI490" s="104"/>
      <c r="CJ490" s="104"/>
      <c r="CK490" s="104"/>
    </row>
    <row r="491" spans="1:89" s="112" customFormat="1">
      <c r="B491" s="129">
        <v>482</v>
      </c>
      <c r="C491" s="106" t="s">
        <v>391</v>
      </c>
      <c r="D491" s="124" t="s">
        <v>502</v>
      </c>
      <c r="E491" s="117"/>
      <c r="F491" s="205">
        <v>1</v>
      </c>
      <c r="G491" s="205"/>
      <c r="H491" s="205">
        <v>5.17</v>
      </c>
      <c r="I491" s="205">
        <f t="shared" si="110"/>
        <v>0.15509999999999999</v>
      </c>
      <c r="J491" s="147">
        <f t="shared" si="119"/>
        <v>0</v>
      </c>
      <c r="K491" s="147">
        <f t="shared" si="120"/>
        <v>5.17</v>
      </c>
      <c r="L491" s="147">
        <f t="shared" si="121"/>
        <v>0.15509999999999999</v>
      </c>
      <c r="M491" s="147">
        <f t="shared" si="122"/>
        <v>5.3250999999999999</v>
      </c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  <c r="AA491" s="113"/>
      <c r="AB491" s="113"/>
      <c r="AC491" s="113"/>
      <c r="AD491" s="113"/>
      <c r="AE491" s="113"/>
      <c r="AF491" s="113"/>
      <c r="AG491" s="113"/>
      <c r="AH491" s="113"/>
      <c r="AI491" s="113"/>
      <c r="AJ491" s="113"/>
      <c r="AK491" s="113"/>
      <c r="AL491" s="113"/>
      <c r="AM491" s="113"/>
      <c r="AN491" s="113"/>
      <c r="AO491" s="113"/>
      <c r="AP491" s="113"/>
      <c r="AQ491" s="113"/>
      <c r="AR491" s="113"/>
      <c r="AS491" s="113"/>
      <c r="AT491" s="113"/>
      <c r="AU491" s="113"/>
      <c r="AV491" s="113"/>
      <c r="AW491" s="113"/>
      <c r="AX491" s="113"/>
      <c r="AY491" s="113"/>
      <c r="AZ491" s="113"/>
      <c r="BA491" s="113"/>
      <c r="BB491" s="113"/>
      <c r="BC491" s="113"/>
      <c r="BD491" s="113"/>
      <c r="BE491" s="113"/>
      <c r="BF491" s="113"/>
      <c r="BG491" s="113"/>
      <c r="BH491" s="113"/>
      <c r="BI491" s="113"/>
      <c r="BJ491" s="113"/>
      <c r="BK491" s="113"/>
      <c r="BL491" s="113"/>
      <c r="BM491" s="113"/>
      <c r="BN491" s="113"/>
      <c r="BO491" s="113"/>
      <c r="BP491" s="113"/>
      <c r="BQ491" s="113"/>
      <c r="BR491" s="113"/>
      <c r="BS491" s="113"/>
      <c r="BT491" s="113"/>
      <c r="BU491" s="113"/>
      <c r="BV491" s="113"/>
      <c r="BW491" s="113"/>
      <c r="BX491" s="113"/>
      <c r="BY491" s="113"/>
      <c r="BZ491" s="113"/>
      <c r="CA491" s="113"/>
      <c r="CB491" s="113"/>
      <c r="CC491" s="113"/>
      <c r="CD491" s="113"/>
      <c r="CE491" s="113"/>
      <c r="CF491" s="113"/>
      <c r="CG491" s="113"/>
      <c r="CH491" s="113"/>
      <c r="CI491" s="113"/>
      <c r="CJ491" s="113"/>
      <c r="CK491" s="113"/>
    </row>
    <row r="492" spans="1:89" s="112" customFormat="1">
      <c r="A492" s="162"/>
      <c r="B492" s="129">
        <v>483</v>
      </c>
      <c r="C492" s="106" t="s">
        <v>108</v>
      </c>
      <c r="D492" s="124" t="s">
        <v>47</v>
      </c>
      <c r="E492" s="210">
        <v>200</v>
      </c>
      <c r="F492" s="205">
        <f>1.5*F490</f>
        <v>28.860000000000003</v>
      </c>
      <c r="G492" s="205"/>
      <c r="H492" s="205">
        <v>0.6</v>
      </c>
      <c r="I492" s="205">
        <f t="shared" si="110"/>
        <v>1.7999999999999999E-2</v>
      </c>
      <c r="J492" s="147">
        <f t="shared" si="119"/>
        <v>0</v>
      </c>
      <c r="K492" s="147">
        <f t="shared" si="120"/>
        <v>17.316000000000003</v>
      </c>
      <c r="L492" s="147">
        <f t="shared" si="121"/>
        <v>0.51948000000000005</v>
      </c>
      <c r="M492" s="147">
        <f t="shared" si="122"/>
        <v>17.835480000000004</v>
      </c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113"/>
      <c r="AS492" s="113"/>
      <c r="AT492" s="113"/>
      <c r="AU492" s="113"/>
      <c r="AV492" s="113"/>
      <c r="AW492" s="113"/>
      <c r="AX492" s="113"/>
      <c r="AY492" s="113"/>
      <c r="AZ492" s="113"/>
      <c r="BA492" s="113"/>
      <c r="BB492" s="113"/>
      <c r="BC492" s="113"/>
      <c r="BD492" s="113"/>
      <c r="BE492" s="113"/>
      <c r="BF492" s="113"/>
      <c r="BG492" s="113"/>
      <c r="BH492" s="113"/>
      <c r="BI492" s="113"/>
      <c r="BJ492" s="113"/>
      <c r="BK492" s="113"/>
      <c r="BL492" s="113"/>
      <c r="BM492" s="113"/>
      <c r="BN492" s="113"/>
      <c r="BO492" s="113"/>
      <c r="BP492" s="113"/>
      <c r="BQ492" s="113"/>
      <c r="BR492" s="113"/>
      <c r="BS492" s="113"/>
      <c r="BT492" s="113"/>
      <c r="BU492" s="113"/>
      <c r="BV492" s="113"/>
      <c r="BW492" s="113"/>
      <c r="BX492" s="113"/>
      <c r="BY492" s="113"/>
      <c r="BZ492" s="113"/>
      <c r="CA492" s="113"/>
      <c r="CB492" s="113"/>
      <c r="CC492" s="113"/>
      <c r="CD492" s="113"/>
      <c r="CE492" s="113"/>
      <c r="CF492" s="113"/>
      <c r="CG492" s="113"/>
      <c r="CH492" s="113"/>
      <c r="CI492" s="113"/>
      <c r="CJ492" s="113"/>
      <c r="CK492" s="113"/>
    </row>
    <row r="493" spans="1:89" s="112" customFormat="1">
      <c r="A493" s="162"/>
      <c r="B493" s="129">
        <v>484</v>
      </c>
      <c r="C493" s="106" t="s">
        <v>110</v>
      </c>
      <c r="D493" s="124" t="s">
        <v>6</v>
      </c>
      <c r="E493" s="210">
        <v>382</v>
      </c>
      <c r="F493" s="205">
        <f>0.375*F490</f>
        <v>7.2150000000000007</v>
      </c>
      <c r="G493" s="205"/>
      <c r="H493" s="205">
        <v>1.59</v>
      </c>
      <c r="I493" s="205">
        <f t="shared" si="110"/>
        <v>4.7699999999999999E-2</v>
      </c>
      <c r="J493" s="147">
        <f t="shared" si="119"/>
        <v>0</v>
      </c>
      <c r="K493" s="147">
        <f t="shared" si="120"/>
        <v>11.471850000000002</v>
      </c>
      <c r="L493" s="147">
        <f t="shared" si="121"/>
        <v>0.34415550000000006</v>
      </c>
      <c r="M493" s="147">
        <f t="shared" si="122"/>
        <v>11.816005500000001</v>
      </c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113"/>
      <c r="AS493" s="113"/>
      <c r="AT493" s="113"/>
      <c r="AU493" s="113"/>
      <c r="AV493" s="113"/>
      <c r="AW493" s="113"/>
      <c r="AX493" s="113"/>
      <c r="AY493" s="113"/>
      <c r="AZ493" s="113"/>
      <c r="BA493" s="113"/>
      <c r="BB493" s="113"/>
      <c r="BC493" s="113"/>
      <c r="BD493" s="113"/>
      <c r="BE493" s="113"/>
      <c r="BF493" s="113"/>
      <c r="BG493" s="113"/>
      <c r="BH493" s="113"/>
      <c r="BI493" s="113"/>
      <c r="BJ493" s="113"/>
      <c r="BK493" s="113"/>
      <c r="BL493" s="113"/>
      <c r="BM493" s="113"/>
      <c r="BN493" s="113"/>
      <c r="BO493" s="113"/>
      <c r="BP493" s="113"/>
      <c r="BQ493" s="113"/>
      <c r="BR493" s="113"/>
      <c r="BS493" s="113"/>
      <c r="BT493" s="113"/>
      <c r="BU493" s="113"/>
      <c r="BV493" s="113"/>
      <c r="BW493" s="113"/>
      <c r="BX493" s="113"/>
      <c r="BY493" s="113"/>
      <c r="BZ493" s="113"/>
      <c r="CA493" s="113"/>
      <c r="CB493" s="113"/>
      <c r="CC493" s="113"/>
      <c r="CD493" s="113"/>
      <c r="CE493" s="113"/>
      <c r="CF493" s="113"/>
      <c r="CG493" s="113"/>
      <c r="CH493" s="113"/>
      <c r="CI493" s="113"/>
      <c r="CJ493" s="113"/>
      <c r="CK493" s="113"/>
    </row>
    <row r="494" spans="1:89">
      <c r="B494" s="129">
        <v>485</v>
      </c>
      <c r="C494" s="109" t="s">
        <v>433</v>
      </c>
      <c r="D494" s="181" t="s">
        <v>6</v>
      </c>
      <c r="E494" s="172">
        <v>21.5</v>
      </c>
      <c r="F494" s="147">
        <v>9.5</v>
      </c>
      <c r="G494" s="211">
        <v>1.7</v>
      </c>
      <c r="H494" s="211"/>
      <c r="I494" s="147">
        <f t="shared" si="110"/>
        <v>0.17</v>
      </c>
      <c r="J494" s="147">
        <f t="shared" si="119"/>
        <v>16.149999999999999</v>
      </c>
      <c r="K494" s="147">
        <f t="shared" si="120"/>
        <v>0</v>
      </c>
      <c r="L494" s="147">
        <f t="shared" si="121"/>
        <v>1.6150000000000002</v>
      </c>
      <c r="M494" s="147">
        <f t="shared" si="122"/>
        <v>17.765000000000001</v>
      </c>
      <c r="CD494" s="104"/>
      <c r="CE494" s="104"/>
      <c r="CF494" s="104"/>
      <c r="CG494" s="104"/>
      <c r="CH494" s="104"/>
      <c r="CI494" s="104"/>
      <c r="CJ494" s="104"/>
      <c r="CK494" s="104"/>
    </row>
    <row r="495" spans="1:89">
      <c r="B495" s="129">
        <v>486</v>
      </c>
      <c r="C495" s="106" t="s">
        <v>97</v>
      </c>
      <c r="D495" s="180" t="s">
        <v>6</v>
      </c>
      <c r="E495" s="172">
        <v>13</v>
      </c>
      <c r="F495" s="147">
        <f>F494*1.05</f>
        <v>9.9749999999999996</v>
      </c>
      <c r="G495" s="211"/>
      <c r="H495" s="211">
        <v>14.9</v>
      </c>
      <c r="I495" s="205">
        <f t="shared" si="110"/>
        <v>0.44700000000000001</v>
      </c>
      <c r="J495" s="147">
        <f t="shared" si="119"/>
        <v>0</v>
      </c>
      <c r="K495" s="147">
        <f t="shared" si="120"/>
        <v>148.6275</v>
      </c>
      <c r="L495" s="147">
        <f t="shared" si="121"/>
        <v>4.458825</v>
      </c>
      <c r="M495" s="147">
        <f t="shared" si="122"/>
        <v>153.08632499999999</v>
      </c>
      <c r="CD495" s="104"/>
      <c r="CE495" s="104"/>
      <c r="CF495" s="104"/>
      <c r="CG495" s="104"/>
      <c r="CH495" s="104"/>
      <c r="CI495" s="104"/>
      <c r="CJ495" s="104"/>
      <c r="CK495" s="104"/>
    </row>
    <row r="496" spans="1:89" ht="25.5" customHeight="1">
      <c r="B496" s="129">
        <v>487</v>
      </c>
      <c r="C496" s="146" t="s">
        <v>397</v>
      </c>
      <c r="D496" s="123" t="s">
        <v>6</v>
      </c>
      <c r="E496" s="129"/>
      <c r="F496" s="147">
        <v>9.5</v>
      </c>
      <c r="G496" s="147">
        <v>0.65</v>
      </c>
      <c r="H496" s="147"/>
      <c r="I496" s="205">
        <f t="shared" si="110"/>
        <v>6.5000000000000002E-2</v>
      </c>
      <c r="J496" s="147">
        <f t="shared" si="119"/>
        <v>6.1749999999999998</v>
      </c>
      <c r="K496" s="147">
        <f t="shared" si="120"/>
        <v>0</v>
      </c>
      <c r="L496" s="147">
        <f t="shared" si="121"/>
        <v>0.61750000000000005</v>
      </c>
      <c r="M496" s="147">
        <f t="shared" si="122"/>
        <v>6.7924999999999995</v>
      </c>
      <c r="N496" s="130"/>
      <c r="CD496" s="104"/>
      <c r="CE496" s="104"/>
      <c r="CF496" s="104"/>
      <c r="CG496" s="104"/>
      <c r="CH496" s="104"/>
      <c r="CI496" s="104"/>
      <c r="CJ496" s="104"/>
      <c r="CK496" s="104"/>
    </row>
    <row r="497" spans="1:89">
      <c r="B497" s="129">
        <v>488</v>
      </c>
      <c r="C497" s="106" t="s">
        <v>392</v>
      </c>
      <c r="D497" s="123" t="s">
        <v>47</v>
      </c>
      <c r="E497" s="129"/>
      <c r="F497" s="147">
        <v>25</v>
      </c>
      <c r="G497" s="147"/>
      <c r="H497" s="147">
        <v>0.6</v>
      </c>
      <c r="I497" s="205">
        <f t="shared" si="110"/>
        <v>1.7999999999999999E-2</v>
      </c>
      <c r="J497" s="147">
        <f t="shared" si="119"/>
        <v>0</v>
      </c>
      <c r="K497" s="147">
        <f t="shared" si="120"/>
        <v>15</v>
      </c>
      <c r="L497" s="147">
        <f t="shared" si="121"/>
        <v>0.44999999999999996</v>
      </c>
      <c r="M497" s="147">
        <f t="shared" si="122"/>
        <v>15.45</v>
      </c>
      <c r="CD497" s="104"/>
      <c r="CE497" s="104"/>
      <c r="CF497" s="104"/>
      <c r="CG497" s="104"/>
      <c r="CH497" s="104"/>
      <c r="CI497" s="104"/>
      <c r="CJ497" s="104"/>
      <c r="CK497" s="104"/>
    </row>
    <row r="498" spans="1:89">
      <c r="B498" s="129">
        <v>489</v>
      </c>
      <c r="C498" s="131" t="s">
        <v>393</v>
      </c>
      <c r="D498" s="123" t="s">
        <v>6</v>
      </c>
      <c r="E498" s="129"/>
      <c r="F498" s="147">
        <v>9.5</v>
      </c>
      <c r="G498" s="147">
        <v>0.55000000000000004</v>
      </c>
      <c r="H498" s="147"/>
      <c r="I498" s="205">
        <f t="shared" si="110"/>
        <v>5.5000000000000007E-2</v>
      </c>
      <c r="J498" s="147">
        <f t="shared" si="119"/>
        <v>5.2250000000000005</v>
      </c>
      <c r="K498" s="147">
        <f t="shared" si="120"/>
        <v>0</v>
      </c>
      <c r="L498" s="147">
        <f t="shared" si="121"/>
        <v>0.52250000000000008</v>
      </c>
      <c r="M498" s="147">
        <f t="shared" si="122"/>
        <v>5.7475000000000005</v>
      </c>
      <c r="CD498" s="104"/>
      <c r="CE498" s="104"/>
      <c r="CF498" s="104"/>
      <c r="CG498" s="104"/>
      <c r="CH498" s="104"/>
      <c r="CI498" s="104"/>
      <c r="CJ498" s="104"/>
      <c r="CK498" s="104"/>
    </row>
    <row r="499" spans="1:89">
      <c r="B499" s="129">
        <v>490</v>
      </c>
      <c r="C499" s="106" t="s">
        <v>94</v>
      </c>
      <c r="D499" s="123" t="s">
        <v>47</v>
      </c>
      <c r="E499" s="129"/>
      <c r="F499" s="147">
        <f>4*F498</f>
        <v>38</v>
      </c>
      <c r="G499" s="147"/>
      <c r="H499" s="147">
        <v>0.45</v>
      </c>
      <c r="I499" s="205">
        <f t="shared" si="110"/>
        <v>1.35E-2</v>
      </c>
      <c r="J499" s="147">
        <f t="shared" si="119"/>
        <v>0</v>
      </c>
      <c r="K499" s="147">
        <f t="shared" si="120"/>
        <v>17.100000000000001</v>
      </c>
      <c r="L499" s="147">
        <f t="shared" si="121"/>
        <v>0.51300000000000001</v>
      </c>
      <c r="M499" s="147">
        <f t="shared" si="122"/>
        <v>17.613000000000003</v>
      </c>
      <c r="CD499" s="104"/>
      <c r="CE499" s="104"/>
      <c r="CF499" s="104"/>
      <c r="CG499" s="104"/>
      <c r="CH499" s="104"/>
      <c r="CI499" s="104"/>
      <c r="CJ499" s="104"/>
      <c r="CK499" s="104"/>
    </row>
    <row r="500" spans="1:89">
      <c r="B500" s="129">
        <v>491</v>
      </c>
      <c r="C500" s="146" t="s">
        <v>508</v>
      </c>
      <c r="D500" s="123" t="s">
        <v>6</v>
      </c>
      <c r="E500" s="129"/>
      <c r="F500" s="147">
        <v>9.5</v>
      </c>
      <c r="G500" s="147">
        <v>5.4</v>
      </c>
      <c r="H500" s="147"/>
      <c r="I500" s="205">
        <f t="shared" si="110"/>
        <v>0.54</v>
      </c>
      <c r="J500" s="147">
        <f t="shared" si="119"/>
        <v>51.300000000000004</v>
      </c>
      <c r="K500" s="147">
        <f t="shared" si="120"/>
        <v>0</v>
      </c>
      <c r="L500" s="147">
        <f t="shared" si="121"/>
        <v>5.1300000000000008</v>
      </c>
      <c r="M500" s="147">
        <f t="shared" si="122"/>
        <v>56.430000000000007</v>
      </c>
      <c r="N500" s="130"/>
      <c r="CD500" s="104"/>
      <c r="CE500" s="104"/>
      <c r="CF500" s="104"/>
      <c r="CG500" s="104"/>
      <c r="CH500" s="104"/>
      <c r="CI500" s="104"/>
      <c r="CJ500" s="104"/>
      <c r="CK500" s="104"/>
    </row>
    <row r="501" spans="1:89">
      <c r="B501" s="129">
        <v>492</v>
      </c>
      <c r="C501" s="118" t="s">
        <v>333</v>
      </c>
      <c r="D501" s="123" t="s">
        <v>47</v>
      </c>
      <c r="E501" s="129"/>
      <c r="F501" s="147">
        <f>4.5*F500</f>
        <v>42.75</v>
      </c>
      <c r="G501" s="147"/>
      <c r="H501" s="147">
        <v>0.23</v>
      </c>
      <c r="I501" s="205">
        <f t="shared" si="110"/>
        <v>6.8999999999999999E-3</v>
      </c>
      <c r="J501" s="147">
        <f t="shared" si="119"/>
        <v>0</v>
      </c>
      <c r="K501" s="147">
        <f t="shared" si="120"/>
        <v>9.8324999999999996</v>
      </c>
      <c r="L501" s="147">
        <f t="shared" si="121"/>
        <v>0.29497499999999999</v>
      </c>
      <c r="M501" s="147">
        <f t="shared" si="122"/>
        <v>10.127475</v>
      </c>
      <c r="CD501" s="104"/>
      <c r="CE501" s="104"/>
      <c r="CF501" s="104"/>
      <c r="CG501" s="104"/>
      <c r="CH501" s="104"/>
      <c r="CI501" s="104"/>
      <c r="CJ501" s="104"/>
      <c r="CK501" s="104"/>
    </row>
    <row r="502" spans="1:89">
      <c r="B502" s="129">
        <v>493</v>
      </c>
      <c r="C502" s="106" t="s">
        <v>57</v>
      </c>
      <c r="D502" s="123" t="s">
        <v>6</v>
      </c>
      <c r="E502" s="129"/>
      <c r="F502" s="147">
        <f>1.05*F500</f>
        <v>9.9749999999999996</v>
      </c>
      <c r="G502" s="147"/>
      <c r="H502" s="147">
        <v>6.5</v>
      </c>
      <c r="I502" s="205">
        <f t="shared" si="110"/>
        <v>0.19500000000000001</v>
      </c>
      <c r="J502" s="147">
        <f t="shared" si="119"/>
        <v>0</v>
      </c>
      <c r="K502" s="147">
        <f t="shared" si="120"/>
        <v>64.837499999999991</v>
      </c>
      <c r="L502" s="147">
        <f t="shared" si="121"/>
        <v>1.945125</v>
      </c>
      <c r="M502" s="147">
        <f t="shared" si="122"/>
        <v>66.782624999999996</v>
      </c>
      <c r="CD502" s="104"/>
      <c r="CE502" s="104"/>
      <c r="CF502" s="104"/>
      <c r="CG502" s="104"/>
      <c r="CH502" s="104"/>
      <c r="CI502" s="104"/>
      <c r="CJ502" s="104"/>
      <c r="CK502" s="104"/>
    </row>
    <row r="503" spans="1:89">
      <c r="B503" s="129">
        <v>494</v>
      </c>
      <c r="C503" s="106" t="s">
        <v>59</v>
      </c>
      <c r="D503" s="123" t="s">
        <v>47</v>
      </c>
      <c r="E503" s="129"/>
      <c r="F503" s="147">
        <f>F500</f>
        <v>9.5</v>
      </c>
      <c r="G503" s="147"/>
      <c r="H503" s="147">
        <v>0.5</v>
      </c>
      <c r="I503" s="205">
        <f t="shared" si="110"/>
        <v>1.4999999999999999E-2</v>
      </c>
      <c r="J503" s="147">
        <f t="shared" si="119"/>
        <v>0</v>
      </c>
      <c r="K503" s="147">
        <f t="shared" si="120"/>
        <v>4.75</v>
      </c>
      <c r="L503" s="147">
        <f t="shared" si="121"/>
        <v>0.14249999999999999</v>
      </c>
      <c r="M503" s="147">
        <f t="shared" si="122"/>
        <v>4.8925000000000001</v>
      </c>
      <c r="CD503" s="104"/>
      <c r="CE503" s="104"/>
      <c r="CF503" s="104"/>
      <c r="CG503" s="104"/>
      <c r="CH503" s="104"/>
      <c r="CI503" s="104"/>
      <c r="CJ503" s="104"/>
      <c r="CK503" s="104"/>
    </row>
    <row r="504" spans="1:89">
      <c r="A504" s="160"/>
      <c r="B504" s="129">
        <v>495</v>
      </c>
      <c r="C504" s="131" t="s">
        <v>409</v>
      </c>
      <c r="D504" s="123" t="s">
        <v>114</v>
      </c>
      <c r="E504" s="204">
        <v>252</v>
      </c>
      <c r="F504" s="147">
        <f>3.25+3.25+0.653+0.25</f>
        <v>7.4030000000000005</v>
      </c>
      <c r="G504" s="147">
        <v>1.1000000000000001</v>
      </c>
      <c r="H504" s="147"/>
      <c r="I504" s="205">
        <f t="shared" si="110"/>
        <v>0.11000000000000001</v>
      </c>
      <c r="J504" s="147">
        <f t="shared" si="119"/>
        <v>8.1433000000000018</v>
      </c>
      <c r="K504" s="147">
        <f t="shared" si="120"/>
        <v>0</v>
      </c>
      <c r="L504" s="147">
        <f t="shared" si="121"/>
        <v>0.81433000000000011</v>
      </c>
      <c r="M504" s="147">
        <f t="shared" si="122"/>
        <v>8.9576300000000018</v>
      </c>
      <c r="CD504" s="104"/>
      <c r="CE504" s="104"/>
      <c r="CF504" s="104"/>
      <c r="CG504" s="104"/>
      <c r="CH504" s="104"/>
      <c r="CI504" s="104"/>
      <c r="CJ504" s="104"/>
      <c r="CK504" s="104"/>
    </row>
    <row r="505" spans="1:89" s="112" customFormat="1">
      <c r="A505" s="162"/>
      <c r="B505" s="129">
        <v>496</v>
      </c>
      <c r="C505" s="106" t="s">
        <v>121</v>
      </c>
      <c r="D505" s="124" t="s">
        <v>114</v>
      </c>
      <c r="E505" s="210">
        <v>162</v>
      </c>
      <c r="F505" s="205">
        <v>7.4</v>
      </c>
      <c r="G505" s="205"/>
      <c r="H505" s="205">
        <v>1.85</v>
      </c>
      <c r="I505" s="205">
        <f t="shared" si="110"/>
        <v>5.5500000000000001E-2</v>
      </c>
      <c r="J505" s="147">
        <f t="shared" si="119"/>
        <v>0</v>
      </c>
      <c r="K505" s="147">
        <f t="shared" si="120"/>
        <v>13.690000000000001</v>
      </c>
      <c r="L505" s="147">
        <f t="shared" si="121"/>
        <v>0.41070000000000001</v>
      </c>
      <c r="M505" s="147">
        <f t="shared" si="122"/>
        <v>14.100700000000002</v>
      </c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113"/>
      <c r="AS505" s="113"/>
      <c r="AT505" s="113"/>
      <c r="AU505" s="113"/>
      <c r="AV505" s="113"/>
      <c r="AW505" s="113"/>
      <c r="AX505" s="113"/>
      <c r="AY505" s="113"/>
      <c r="AZ505" s="113"/>
      <c r="BA505" s="113"/>
      <c r="BB505" s="113"/>
      <c r="BC505" s="113"/>
      <c r="BD505" s="113"/>
      <c r="BE505" s="113"/>
      <c r="BF505" s="113"/>
      <c r="BG505" s="113"/>
      <c r="BH505" s="113"/>
      <c r="BI505" s="113"/>
      <c r="BJ505" s="113"/>
      <c r="BK505" s="113"/>
      <c r="BL505" s="113"/>
      <c r="BM505" s="113"/>
      <c r="BN505" s="113"/>
      <c r="BO505" s="113"/>
      <c r="BP505" s="113"/>
      <c r="BQ505" s="113"/>
      <c r="BR505" s="113"/>
      <c r="BS505" s="113"/>
      <c r="BT505" s="113"/>
      <c r="BU505" s="113"/>
      <c r="BV505" s="113"/>
      <c r="BW505" s="113"/>
      <c r="BX505" s="113"/>
      <c r="BY505" s="113"/>
      <c r="BZ505" s="113"/>
      <c r="CA505" s="113"/>
      <c r="CB505" s="113"/>
      <c r="CC505" s="113"/>
      <c r="CD505" s="113"/>
      <c r="CE505" s="113"/>
      <c r="CF505" s="113"/>
      <c r="CG505" s="113"/>
      <c r="CH505" s="113"/>
      <c r="CI505" s="113"/>
      <c r="CJ505" s="113"/>
      <c r="CK505" s="113"/>
    </row>
    <row r="506" spans="1:89" s="112" customFormat="1">
      <c r="A506" s="162"/>
      <c r="B506" s="129">
        <v>497</v>
      </c>
      <c r="C506" s="106" t="s">
        <v>39</v>
      </c>
      <c r="D506" s="124" t="s">
        <v>83</v>
      </c>
      <c r="E506" s="210">
        <v>252</v>
      </c>
      <c r="F506" s="205">
        <v>15</v>
      </c>
      <c r="G506" s="205"/>
      <c r="H506" s="205">
        <v>0.44</v>
      </c>
      <c r="I506" s="205">
        <f t="shared" si="110"/>
        <v>1.32E-2</v>
      </c>
      <c r="J506" s="147">
        <f t="shared" si="119"/>
        <v>0</v>
      </c>
      <c r="K506" s="147">
        <f t="shared" si="120"/>
        <v>6.6</v>
      </c>
      <c r="L506" s="147">
        <f t="shared" si="121"/>
        <v>0.19800000000000001</v>
      </c>
      <c r="M506" s="147">
        <f t="shared" si="122"/>
        <v>6.798</v>
      </c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113"/>
      <c r="AS506" s="113"/>
      <c r="AT506" s="113"/>
      <c r="AU506" s="113"/>
      <c r="AV506" s="113"/>
      <c r="AW506" s="113"/>
      <c r="AX506" s="113"/>
      <c r="AY506" s="113"/>
      <c r="AZ506" s="113"/>
      <c r="BA506" s="113"/>
      <c r="BB506" s="113"/>
      <c r="BC506" s="113"/>
      <c r="BD506" s="113"/>
      <c r="BE506" s="113"/>
      <c r="BF506" s="113"/>
      <c r="BG506" s="113"/>
      <c r="BH506" s="113"/>
      <c r="BI506" s="113"/>
      <c r="BJ506" s="113"/>
      <c r="BK506" s="113"/>
      <c r="BL506" s="113"/>
      <c r="BM506" s="113"/>
      <c r="BN506" s="113"/>
      <c r="BO506" s="113"/>
      <c r="BP506" s="113"/>
      <c r="BQ506" s="113"/>
      <c r="BR506" s="113"/>
      <c r="BS506" s="113"/>
      <c r="BT506" s="113"/>
      <c r="BU506" s="113"/>
      <c r="BV506" s="113"/>
      <c r="BW506" s="113"/>
      <c r="BX506" s="113"/>
      <c r="BY506" s="113"/>
      <c r="BZ506" s="113"/>
      <c r="CA506" s="113"/>
      <c r="CB506" s="113"/>
      <c r="CC506" s="113"/>
      <c r="CD506" s="113"/>
      <c r="CE506" s="113"/>
      <c r="CF506" s="113"/>
      <c r="CG506" s="113"/>
      <c r="CH506" s="113"/>
      <c r="CI506" s="113"/>
      <c r="CJ506" s="113"/>
      <c r="CK506" s="113"/>
    </row>
    <row r="507" spans="1:89" s="112" customFormat="1">
      <c r="A507" s="162"/>
      <c r="B507" s="129">
        <v>498</v>
      </c>
      <c r="C507" s="106" t="s">
        <v>119</v>
      </c>
      <c r="D507" s="124" t="s">
        <v>47</v>
      </c>
      <c r="E507" s="210">
        <v>20</v>
      </c>
      <c r="F507" s="205">
        <f>0.25*F504*0.07</f>
        <v>0.12955250000000001</v>
      </c>
      <c r="G507" s="205"/>
      <c r="H507" s="205">
        <v>4.87</v>
      </c>
      <c r="I507" s="205">
        <f t="shared" si="110"/>
        <v>0.14610000000000001</v>
      </c>
      <c r="J507" s="147">
        <f t="shared" si="119"/>
        <v>0</v>
      </c>
      <c r="K507" s="147">
        <f t="shared" si="120"/>
        <v>0.63092067500000004</v>
      </c>
      <c r="L507" s="147">
        <f t="shared" si="121"/>
        <v>1.8927620250000003E-2</v>
      </c>
      <c r="M507" s="147">
        <f t="shared" si="122"/>
        <v>0.6498482952500001</v>
      </c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113"/>
      <c r="AS507" s="113"/>
      <c r="AT507" s="113"/>
      <c r="AU507" s="113"/>
      <c r="AV507" s="113"/>
      <c r="AW507" s="113"/>
      <c r="AX507" s="113"/>
      <c r="AY507" s="113"/>
      <c r="AZ507" s="113"/>
      <c r="BA507" s="113"/>
      <c r="BB507" s="113"/>
      <c r="BC507" s="113"/>
      <c r="BD507" s="113"/>
      <c r="BE507" s="113"/>
      <c r="BF507" s="113"/>
      <c r="BG507" s="113"/>
      <c r="BH507" s="113"/>
      <c r="BI507" s="113"/>
      <c r="BJ507" s="113"/>
      <c r="BK507" s="113"/>
      <c r="BL507" s="113"/>
      <c r="BM507" s="113"/>
      <c r="BN507" s="113"/>
      <c r="BO507" s="113"/>
      <c r="BP507" s="113"/>
      <c r="BQ507" s="113"/>
      <c r="BR507" s="113"/>
      <c r="BS507" s="113"/>
      <c r="BT507" s="113"/>
      <c r="BU507" s="113"/>
      <c r="BV507" s="113"/>
      <c r="BW507" s="113"/>
      <c r="BX507" s="113"/>
      <c r="BY507" s="113"/>
      <c r="BZ507" s="113"/>
      <c r="CA507" s="113"/>
      <c r="CB507" s="113"/>
      <c r="CC507" s="113"/>
      <c r="CD507" s="113"/>
      <c r="CE507" s="113"/>
      <c r="CF507" s="113"/>
      <c r="CG507" s="113"/>
      <c r="CH507" s="113"/>
      <c r="CI507" s="113"/>
      <c r="CJ507" s="113"/>
      <c r="CK507" s="113"/>
    </row>
    <row r="508" spans="1:89">
      <c r="B508" s="129">
        <v>499</v>
      </c>
      <c r="C508" s="146" t="s">
        <v>509</v>
      </c>
      <c r="D508" s="123" t="s">
        <v>6</v>
      </c>
      <c r="E508" s="129"/>
      <c r="F508" s="147">
        <v>1.8</v>
      </c>
      <c r="G508" s="147">
        <v>5</v>
      </c>
      <c r="H508" s="147"/>
      <c r="I508" s="205">
        <f t="shared" si="110"/>
        <v>0.5</v>
      </c>
      <c r="J508" s="147">
        <f t="shared" si="119"/>
        <v>9</v>
      </c>
      <c r="K508" s="147">
        <f t="shared" si="120"/>
        <v>0</v>
      </c>
      <c r="L508" s="147">
        <f t="shared" si="121"/>
        <v>0.9</v>
      </c>
      <c r="M508" s="147">
        <f t="shared" si="122"/>
        <v>9.9</v>
      </c>
      <c r="N508" s="130"/>
      <c r="CD508" s="104"/>
      <c r="CE508" s="104"/>
      <c r="CF508" s="104"/>
      <c r="CG508" s="104"/>
      <c r="CH508" s="104"/>
      <c r="CI508" s="104"/>
      <c r="CJ508" s="104"/>
      <c r="CK508" s="104"/>
    </row>
    <row r="509" spans="1:89">
      <c r="B509" s="129">
        <v>500</v>
      </c>
      <c r="C509" s="106" t="s">
        <v>398</v>
      </c>
      <c r="D509" s="123" t="s">
        <v>273</v>
      </c>
      <c r="E509" s="129"/>
      <c r="F509" s="147">
        <v>4</v>
      </c>
      <c r="G509" s="147"/>
      <c r="H509" s="147">
        <v>1.6</v>
      </c>
      <c r="I509" s="205">
        <f t="shared" si="110"/>
        <v>4.8000000000000001E-2</v>
      </c>
      <c r="J509" s="147">
        <f t="shared" si="119"/>
        <v>0</v>
      </c>
      <c r="K509" s="147">
        <f t="shared" si="120"/>
        <v>6.4</v>
      </c>
      <c r="L509" s="147">
        <f t="shared" si="121"/>
        <v>0.192</v>
      </c>
      <c r="M509" s="147">
        <f t="shared" si="122"/>
        <v>6.5920000000000005</v>
      </c>
      <c r="CD509" s="104"/>
      <c r="CE509" s="104"/>
      <c r="CF509" s="104"/>
      <c r="CG509" s="104"/>
      <c r="CH509" s="104"/>
      <c r="CI509" s="104"/>
      <c r="CJ509" s="104"/>
      <c r="CK509" s="104"/>
    </row>
    <row r="510" spans="1:89">
      <c r="B510" s="129">
        <v>501</v>
      </c>
      <c r="C510" s="106" t="s">
        <v>333</v>
      </c>
      <c r="D510" s="123" t="s">
        <v>47</v>
      </c>
      <c r="E510" s="129"/>
      <c r="F510" s="147">
        <f>4.5*1.8</f>
        <v>8.1</v>
      </c>
      <c r="G510" s="147"/>
      <c r="H510" s="147">
        <v>0.23</v>
      </c>
      <c r="I510" s="205">
        <f t="shared" si="110"/>
        <v>6.8999999999999999E-3</v>
      </c>
      <c r="J510" s="147">
        <f t="shared" si="119"/>
        <v>0</v>
      </c>
      <c r="K510" s="147">
        <f t="shared" si="120"/>
        <v>1.863</v>
      </c>
      <c r="L510" s="147">
        <f t="shared" si="121"/>
        <v>5.5889999999999995E-2</v>
      </c>
      <c r="M510" s="147">
        <f t="shared" si="122"/>
        <v>1.91889</v>
      </c>
      <c r="CD510" s="104"/>
      <c r="CE510" s="104"/>
      <c r="CF510" s="104"/>
      <c r="CG510" s="104"/>
      <c r="CH510" s="104"/>
      <c r="CI510" s="104"/>
      <c r="CJ510" s="104"/>
      <c r="CK510" s="104"/>
    </row>
    <row r="511" spans="1:89">
      <c r="B511" s="129">
        <v>502</v>
      </c>
      <c r="C511" s="106" t="s">
        <v>57</v>
      </c>
      <c r="D511" s="123" t="s">
        <v>6</v>
      </c>
      <c r="E511" s="129"/>
      <c r="F511" s="147">
        <f>1.8*1.05</f>
        <v>1.8900000000000001</v>
      </c>
      <c r="G511" s="147"/>
      <c r="H511" s="147">
        <v>5.6</v>
      </c>
      <c r="I511" s="205">
        <f t="shared" si="110"/>
        <v>0.16799999999999998</v>
      </c>
      <c r="J511" s="147">
        <f t="shared" si="119"/>
        <v>0</v>
      </c>
      <c r="K511" s="147">
        <f t="shared" si="120"/>
        <v>10.584</v>
      </c>
      <c r="L511" s="147">
        <f t="shared" si="121"/>
        <v>0.31751999999999997</v>
      </c>
      <c r="M511" s="147">
        <f t="shared" si="122"/>
        <v>10.90152</v>
      </c>
      <c r="CD511" s="104"/>
      <c r="CE511" s="104"/>
      <c r="CF511" s="104"/>
      <c r="CG511" s="104"/>
      <c r="CH511" s="104"/>
      <c r="CI511" s="104"/>
      <c r="CJ511" s="104"/>
      <c r="CK511" s="104"/>
    </row>
    <row r="512" spans="1:89">
      <c r="B512" s="129">
        <v>503</v>
      </c>
      <c r="C512" s="106" t="s">
        <v>59</v>
      </c>
      <c r="D512" s="123" t="s">
        <v>47</v>
      </c>
      <c r="E512" s="129"/>
      <c r="F512" s="147">
        <v>1.8</v>
      </c>
      <c r="G512" s="147"/>
      <c r="H512" s="147">
        <v>0.5</v>
      </c>
      <c r="I512" s="205">
        <f t="shared" si="110"/>
        <v>1.4999999999999999E-2</v>
      </c>
      <c r="J512" s="147">
        <f t="shared" si="119"/>
        <v>0</v>
      </c>
      <c r="K512" s="147">
        <f t="shared" si="120"/>
        <v>0.9</v>
      </c>
      <c r="L512" s="147">
        <f t="shared" si="121"/>
        <v>2.7E-2</v>
      </c>
      <c r="M512" s="147">
        <f t="shared" si="122"/>
        <v>0.92700000000000005</v>
      </c>
      <c r="CD512" s="104"/>
      <c r="CE512" s="104"/>
      <c r="CF512" s="104"/>
      <c r="CG512" s="104"/>
      <c r="CH512" s="104"/>
      <c r="CI512" s="104"/>
      <c r="CJ512" s="104"/>
      <c r="CK512" s="104"/>
    </row>
    <row r="513" spans="1:89" s="107" customFormat="1">
      <c r="B513" s="129">
        <v>504</v>
      </c>
      <c r="C513" s="182" t="s">
        <v>475</v>
      </c>
      <c r="D513" s="122"/>
      <c r="E513" s="115"/>
      <c r="F513" s="208"/>
      <c r="G513" s="208"/>
      <c r="H513" s="208"/>
      <c r="I513" s="206"/>
      <c r="J513" s="147">
        <f t="shared" ref="J513:J532" si="123">F513*G513</f>
        <v>0</v>
      </c>
      <c r="K513" s="147">
        <f t="shared" ref="K513:K532" si="124">F513*H513</f>
        <v>0</v>
      </c>
      <c r="L513" s="147">
        <f t="shared" ref="L513:L532" si="125">F513*I513</f>
        <v>0</v>
      </c>
      <c r="M513" s="147">
        <f t="shared" ref="M513:M532" si="126">J513+K513+L513</f>
        <v>0</v>
      </c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  <c r="AG513" s="108"/>
      <c r="AH513" s="108"/>
      <c r="AI513" s="108"/>
      <c r="AJ513" s="108"/>
      <c r="AK513" s="108"/>
      <c r="AL513" s="108"/>
      <c r="AM513" s="108"/>
      <c r="AN513" s="108"/>
      <c r="AO513" s="108"/>
      <c r="AP513" s="108"/>
      <c r="AQ513" s="108"/>
      <c r="AR513" s="108"/>
      <c r="AS513" s="108"/>
      <c r="AT513" s="108"/>
      <c r="AU513" s="108"/>
      <c r="AV513" s="108"/>
      <c r="AW513" s="108"/>
      <c r="AX513" s="108"/>
      <c r="AY513" s="108"/>
      <c r="AZ513" s="108"/>
      <c r="BA513" s="108"/>
      <c r="BB513" s="108"/>
      <c r="BC513" s="108"/>
      <c r="BD513" s="108"/>
      <c r="BE513" s="108"/>
      <c r="BF513" s="108"/>
      <c r="BG513" s="108"/>
      <c r="BH513" s="108"/>
      <c r="BI513" s="108"/>
      <c r="BJ513" s="108"/>
      <c r="BK513" s="108"/>
      <c r="BL513" s="108"/>
      <c r="BM513" s="108"/>
      <c r="BN513" s="108"/>
      <c r="BO513" s="108"/>
      <c r="BP513" s="108"/>
      <c r="BQ513" s="108"/>
      <c r="BR513" s="108"/>
      <c r="BS513" s="108"/>
      <c r="BT513" s="108"/>
      <c r="BU513" s="108"/>
      <c r="BV513" s="108"/>
      <c r="BW513" s="108"/>
      <c r="BX513" s="108"/>
      <c r="BY513" s="108"/>
      <c r="BZ513" s="108"/>
      <c r="CA513" s="108"/>
      <c r="CB513" s="108"/>
      <c r="CC513" s="108"/>
      <c r="CD513" s="108"/>
      <c r="CE513" s="108"/>
      <c r="CF513" s="108"/>
      <c r="CG513" s="108"/>
      <c r="CH513" s="108"/>
      <c r="CI513" s="108"/>
      <c r="CJ513" s="108"/>
      <c r="CK513" s="108"/>
    </row>
    <row r="514" spans="1:89" ht="14.25" customHeight="1">
      <c r="B514" s="129">
        <v>505</v>
      </c>
      <c r="C514" s="143" t="s">
        <v>510</v>
      </c>
      <c r="D514" s="123" t="s">
        <v>6</v>
      </c>
      <c r="E514" s="129"/>
      <c r="F514" s="147">
        <v>12</v>
      </c>
      <c r="G514" s="147">
        <v>0.65</v>
      </c>
      <c r="H514" s="147"/>
      <c r="I514" s="205">
        <f t="shared" ref="I514:I566" si="127">(G514*0.1)+(H514*0.03)</f>
        <v>6.5000000000000002E-2</v>
      </c>
      <c r="J514" s="147">
        <f t="shared" si="123"/>
        <v>7.8000000000000007</v>
      </c>
      <c r="K514" s="147">
        <f t="shared" si="124"/>
        <v>0</v>
      </c>
      <c r="L514" s="147">
        <f t="shared" si="125"/>
        <v>0.78</v>
      </c>
      <c r="M514" s="147">
        <f t="shared" si="126"/>
        <v>8.58</v>
      </c>
      <c r="N514" s="130"/>
      <c r="CD514" s="104"/>
      <c r="CE514" s="104"/>
      <c r="CF514" s="104"/>
      <c r="CG514" s="104"/>
      <c r="CH514" s="104"/>
      <c r="CI514" s="104"/>
      <c r="CJ514" s="104"/>
      <c r="CK514" s="104"/>
    </row>
    <row r="515" spans="1:89">
      <c r="B515" s="129">
        <v>506</v>
      </c>
      <c r="C515" s="106" t="s">
        <v>392</v>
      </c>
      <c r="D515" s="123" t="s">
        <v>47</v>
      </c>
      <c r="E515" s="129"/>
      <c r="F515" s="147">
        <f>1.5*F514</f>
        <v>18</v>
      </c>
      <c r="G515" s="147"/>
      <c r="H515" s="147">
        <v>0.6</v>
      </c>
      <c r="I515" s="205">
        <f t="shared" si="127"/>
        <v>1.7999999999999999E-2</v>
      </c>
      <c r="J515" s="147">
        <f t="shared" si="123"/>
        <v>0</v>
      </c>
      <c r="K515" s="147">
        <f t="shared" si="124"/>
        <v>10.799999999999999</v>
      </c>
      <c r="L515" s="147">
        <f t="shared" si="125"/>
        <v>0.32399999999999995</v>
      </c>
      <c r="M515" s="147">
        <f t="shared" si="126"/>
        <v>11.123999999999999</v>
      </c>
      <c r="CD515" s="104"/>
      <c r="CE515" s="104"/>
      <c r="CF515" s="104"/>
      <c r="CG515" s="104"/>
      <c r="CH515" s="104"/>
      <c r="CI515" s="104"/>
      <c r="CJ515" s="104"/>
      <c r="CK515" s="104"/>
    </row>
    <row r="516" spans="1:89">
      <c r="B516" s="129">
        <v>507</v>
      </c>
      <c r="C516" s="131" t="s">
        <v>393</v>
      </c>
      <c r="D516" s="123" t="s">
        <v>6</v>
      </c>
      <c r="E516" s="129"/>
      <c r="F516" s="147">
        <v>6.7</v>
      </c>
      <c r="G516" s="147">
        <v>0.55000000000000004</v>
      </c>
      <c r="H516" s="147"/>
      <c r="I516" s="205">
        <f t="shared" si="127"/>
        <v>5.5000000000000007E-2</v>
      </c>
      <c r="J516" s="147">
        <f t="shared" si="123"/>
        <v>3.6850000000000005</v>
      </c>
      <c r="K516" s="147">
        <f t="shared" si="124"/>
        <v>0</v>
      </c>
      <c r="L516" s="147">
        <f t="shared" si="125"/>
        <v>0.36850000000000005</v>
      </c>
      <c r="M516" s="147">
        <f t="shared" si="126"/>
        <v>4.0535000000000005</v>
      </c>
      <c r="CD516" s="104"/>
      <c r="CE516" s="104"/>
      <c r="CF516" s="104"/>
      <c r="CG516" s="104"/>
      <c r="CH516" s="104"/>
      <c r="CI516" s="104"/>
      <c r="CJ516" s="104"/>
      <c r="CK516" s="104"/>
    </row>
    <row r="517" spans="1:89">
      <c r="B517" s="129">
        <v>508</v>
      </c>
      <c r="C517" s="106" t="s">
        <v>94</v>
      </c>
      <c r="D517" s="123" t="s">
        <v>47</v>
      </c>
      <c r="E517" s="129"/>
      <c r="F517" s="147">
        <f>F516*4</f>
        <v>26.8</v>
      </c>
      <c r="G517" s="147"/>
      <c r="H517" s="147">
        <v>0.45</v>
      </c>
      <c r="I517" s="205">
        <f t="shared" si="127"/>
        <v>1.35E-2</v>
      </c>
      <c r="J517" s="147">
        <f t="shared" si="123"/>
        <v>0</v>
      </c>
      <c r="K517" s="147">
        <f t="shared" si="124"/>
        <v>12.06</v>
      </c>
      <c r="L517" s="147">
        <f t="shared" si="125"/>
        <v>0.36180000000000001</v>
      </c>
      <c r="M517" s="147">
        <f t="shared" si="126"/>
        <v>12.421800000000001</v>
      </c>
      <c r="CD517" s="104"/>
      <c r="CE517" s="104"/>
      <c r="CF517" s="104"/>
      <c r="CG517" s="104"/>
      <c r="CH517" s="104"/>
      <c r="CI517" s="104"/>
      <c r="CJ517" s="104"/>
      <c r="CK517" s="104"/>
    </row>
    <row r="518" spans="1:89" ht="12.75" customHeight="1">
      <c r="A518" s="160"/>
      <c r="B518" s="129">
        <v>509</v>
      </c>
      <c r="C518" s="125" t="s">
        <v>98</v>
      </c>
      <c r="D518" s="123"/>
      <c r="E518" s="204"/>
      <c r="F518" s="147"/>
      <c r="G518" s="147"/>
      <c r="H518" s="147"/>
      <c r="I518" s="205"/>
      <c r="J518" s="147">
        <f t="shared" si="123"/>
        <v>0</v>
      </c>
      <c r="K518" s="147">
        <f t="shared" si="124"/>
        <v>0</v>
      </c>
      <c r="L518" s="147">
        <f t="shared" si="125"/>
        <v>0</v>
      </c>
      <c r="M518" s="147">
        <f t="shared" si="126"/>
        <v>0</v>
      </c>
      <c r="CD518" s="104"/>
      <c r="CE518" s="104"/>
      <c r="CF518" s="104"/>
      <c r="CG518" s="104"/>
      <c r="CH518" s="104"/>
      <c r="CI518" s="104"/>
      <c r="CJ518" s="104"/>
      <c r="CK518" s="104"/>
    </row>
    <row r="519" spans="1:89">
      <c r="A519" s="160"/>
      <c r="B519" s="129">
        <v>510</v>
      </c>
      <c r="C519" s="157" t="s">
        <v>430</v>
      </c>
      <c r="D519" s="123" t="s">
        <v>6</v>
      </c>
      <c r="E519" s="204">
        <v>6.5</v>
      </c>
      <c r="F519" s="147">
        <v>6.7</v>
      </c>
      <c r="G519" s="147">
        <v>5.4</v>
      </c>
      <c r="H519" s="147"/>
      <c r="I519" s="205">
        <f t="shared" si="127"/>
        <v>0.54</v>
      </c>
      <c r="J519" s="147">
        <f t="shared" si="123"/>
        <v>36.180000000000007</v>
      </c>
      <c r="K519" s="147">
        <f t="shared" si="124"/>
        <v>0</v>
      </c>
      <c r="L519" s="147">
        <f t="shared" si="125"/>
        <v>3.6180000000000003</v>
      </c>
      <c r="M519" s="147">
        <f t="shared" si="126"/>
        <v>39.798000000000009</v>
      </c>
      <c r="CD519" s="104"/>
      <c r="CE519" s="104"/>
      <c r="CF519" s="104"/>
      <c r="CG519" s="104"/>
      <c r="CH519" s="104"/>
      <c r="CI519" s="104"/>
      <c r="CJ519" s="104"/>
      <c r="CK519" s="104"/>
    </row>
    <row r="520" spans="1:89">
      <c r="A520" s="160"/>
      <c r="B520" s="129">
        <v>511</v>
      </c>
      <c r="C520" s="157" t="s">
        <v>431</v>
      </c>
      <c r="D520" s="123" t="s">
        <v>6</v>
      </c>
      <c r="E520" s="204">
        <v>26</v>
      </c>
      <c r="F520" s="147">
        <f>((3.58+2)*2*2.6)-3</f>
        <v>26.016000000000002</v>
      </c>
      <c r="G520" s="147">
        <v>5.4</v>
      </c>
      <c r="H520" s="147"/>
      <c r="I520" s="205">
        <f t="shared" si="127"/>
        <v>0.54</v>
      </c>
      <c r="J520" s="147">
        <f t="shared" si="123"/>
        <v>140.48640000000003</v>
      </c>
      <c r="K520" s="147">
        <f t="shared" si="124"/>
        <v>0</v>
      </c>
      <c r="L520" s="147">
        <f t="shared" si="125"/>
        <v>14.048640000000002</v>
      </c>
      <c r="M520" s="147">
        <f t="shared" si="126"/>
        <v>154.53504000000004</v>
      </c>
      <c r="CD520" s="104"/>
      <c r="CE520" s="104"/>
      <c r="CF520" s="104"/>
      <c r="CG520" s="104"/>
      <c r="CH520" s="104"/>
      <c r="CI520" s="104"/>
      <c r="CJ520" s="104"/>
      <c r="CK520" s="104"/>
    </row>
    <row r="521" spans="1:89" s="112" customFormat="1">
      <c r="A521" s="162"/>
      <c r="B521" s="129">
        <v>512</v>
      </c>
      <c r="C521" s="106" t="s">
        <v>101</v>
      </c>
      <c r="D521" s="124" t="s">
        <v>6</v>
      </c>
      <c r="E521" s="210">
        <v>7.5</v>
      </c>
      <c r="F521" s="205">
        <f>F519*1.05</f>
        <v>7.0350000000000001</v>
      </c>
      <c r="G521" s="205"/>
      <c r="H521" s="205">
        <v>6.5</v>
      </c>
      <c r="I521" s="205">
        <f t="shared" si="127"/>
        <v>0.19500000000000001</v>
      </c>
      <c r="J521" s="147">
        <f t="shared" si="123"/>
        <v>0</v>
      </c>
      <c r="K521" s="147">
        <f t="shared" si="124"/>
        <v>45.727499999999999</v>
      </c>
      <c r="L521" s="147">
        <f t="shared" si="125"/>
        <v>1.3718250000000001</v>
      </c>
      <c r="M521" s="147">
        <f t="shared" si="126"/>
        <v>47.099325</v>
      </c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  <c r="AG521" s="113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113"/>
      <c r="AS521" s="113"/>
      <c r="AT521" s="113"/>
      <c r="AU521" s="113"/>
      <c r="AV521" s="113"/>
      <c r="AW521" s="113"/>
      <c r="AX521" s="113"/>
      <c r="AY521" s="113"/>
      <c r="AZ521" s="113"/>
      <c r="BA521" s="113"/>
      <c r="BB521" s="113"/>
      <c r="BC521" s="113"/>
      <c r="BD521" s="113"/>
      <c r="BE521" s="113"/>
      <c r="BF521" s="113"/>
      <c r="BG521" s="113"/>
      <c r="BH521" s="113"/>
      <c r="BI521" s="113"/>
      <c r="BJ521" s="113"/>
      <c r="BK521" s="113"/>
      <c r="BL521" s="113"/>
      <c r="BM521" s="113"/>
      <c r="BN521" s="113"/>
      <c r="BO521" s="113"/>
      <c r="BP521" s="113"/>
      <c r="BQ521" s="113"/>
      <c r="BR521" s="113"/>
      <c r="BS521" s="113"/>
      <c r="BT521" s="113"/>
      <c r="BU521" s="113"/>
      <c r="BV521" s="113"/>
      <c r="BW521" s="113"/>
      <c r="BX521" s="113"/>
      <c r="BY521" s="113"/>
      <c r="BZ521" s="113"/>
      <c r="CA521" s="113"/>
      <c r="CB521" s="113"/>
      <c r="CC521" s="113"/>
      <c r="CD521" s="113"/>
      <c r="CE521" s="113"/>
      <c r="CF521" s="113"/>
      <c r="CG521" s="113"/>
      <c r="CH521" s="113"/>
      <c r="CI521" s="113"/>
      <c r="CJ521" s="113"/>
      <c r="CK521" s="113"/>
    </row>
    <row r="522" spans="1:89" s="112" customFormat="1">
      <c r="A522" s="162"/>
      <c r="B522" s="129">
        <v>513</v>
      </c>
      <c r="C522" s="106" t="s">
        <v>102</v>
      </c>
      <c r="D522" s="124" t="s">
        <v>6</v>
      </c>
      <c r="E522" s="210">
        <v>28</v>
      </c>
      <c r="F522" s="205">
        <f>F520*1.05</f>
        <v>27.316800000000004</v>
      </c>
      <c r="G522" s="205"/>
      <c r="H522" s="205">
        <v>5.6</v>
      </c>
      <c r="I522" s="205">
        <f t="shared" si="127"/>
        <v>0.16799999999999998</v>
      </c>
      <c r="J522" s="147">
        <f t="shared" si="123"/>
        <v>0</v>
      </c>
      <c r="K522" s="147">
        <f t="shared" si="124"/>
        <v>152.97408000000001</v>
      </c>
      <c r="L522" s="147">
        <f t="shared" si="125"/>
        <v>4.5892224000000006</v>
      </c>
      <c r="M522" s="147">
        <f t="shared" si="126"/>
        <v>157.56330240000003</v>
      </c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113"/>
      <c r="AS522" s="113"/>
      <c r="AT522" s="113"/>
      <c r="AU522" s="113"/>
      <c r="AV522" s="113"/>
      <c r="AW522" s="113"/>
      <c r="AX522" s="113"/>
      <c r="AY522" s="113"/>
      <c r="AZ522" s="113"/>
      <c r="BA522" s="113"/>
      <c r="BB522" s="113"/>
      <c r="BC522" s="113"/>
      <c r="BD522" s="113"/>
      <c r="BE522" s="113"/>
      <c r="BF522" s="113"/>
      <c r="BG522" s="113"/>
      <c r="BH522" s="113"/>
      <c r="BI522" s="113"/>
      <c r="BJ522" s="113"/>
      <c r="BK522" s="113"/>
      <c r="BL522" s="113"/>
      <c r="BM522" s="113"/>
      <c r="BN522" s="113"/>
      <c r="BO522" s="113"/>
      <c r="BP522" s="113"/>
      <c r="BQ522" s="113"/>
      <c r="BR522" s="113"/>
      <c r="BS522" s="113"/>
      <c r="BT522" s="113"/>
      <c r="BU522" s="113"/>
      <c r="BV522" s="113"/>
      <c r="BW522" s="113"/>
      <c r="BX522" s="113"/>
      <c r="BY522" s="113"/>
      <c r="BZ522" s="113"/>
      <c r="CA522" s="113"/>
      <c r="CB522" s="113"/>
      <c r="CC522" s="113"/>
      <c r="CD522" s="113"/>
      <c r="CE522" s="113"/>
      <c r="CF522" s="113"/>
      <c r="CG522" s="113"/>
      <c r="CH522" s="113"/>
      <c r="CI522" s="113"/>
      <c r="CJ522" s="113"/>
      <c r="CK522" s="113"/>
    </row>
    <row r="523" spans="1:89" s="112" customFormat="1">
      <c r="A523" s="162"/>
      <c r="B523" s="129">
        <v>514</v>
      </c>
      <c r="C523" s="106" t="s">
        <v>58</v>
      </c>
      <c r="D523" s="124" t="s">
        <v>47</v>
      </c>
      <c r="E523" s="210">
        <v>140</v>
      </c>
      <c r="F523" s="205">
        <f>4.5*(F522+F521)</f>
        <v>154.58310000000003</v>
      </c>
      <c r="G523" s="205"/>
      <c r="H523" s="205">
        <v>0.23</v>
      </c>
      <c r="I523" s="205">
        <f t="shared" si="127"/>
        <v>6.8999999999999999E-3</v>
      </c>
      <c r="J523" s="147">
        <f t="shared" si="123"/>
        <v>0</v>
      </c>
      <c r="K523" s="147">
        <f t="shared" si="124"/>
        <v>35.554113000000008</v>
      </c>
      <c r="L523" s="147">
        <f t="shared" si="125"/>
        <v>1.0666233900000002</v>
      </c>
      <c r="M523" s="147">
        <f t="shared" si="126"/>
        <v>36.620736390000005</v>
      </c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113"/>
      <c r="AS523" s="113"/>
      <c r="AT523" s="113"/>
      <c r="AU523" s="113"/>
      <c r="AV523" s="113"/>
      <c r="AW523" s="113"/>
      <c r="AX523" s="113"/>
      <c r="AY523" s="113"/>
      <c r="AZ523" s="113"/>
      <c r="BA523" s="113"/>
      <c r="BB523" s="113"/>
      <c r="BC523" s="113"/>
      <c r="BD523" s="113"/>
      <c r="BE523" s="113"/>
      <c r="BF523" s="113"/>
      <c r="BG523" s="113"/>
      <c r="BH523" s="113"/>
      <c r="BI523" s="113"/>
      <c r="BJ523" s="113"/>
      <c r="BK523" s="113"/>
      <c r="BL523" s="113"/>
      <c r="BM523" s="113"/>
      <c r="BN523" s="113"/>
      <c r="BO523" s="113"/>
      <c r="BP523" s="113"/>
      <c r="BQ523" s="113"/>
      <c r="BR523" s="113"/>
      <c r="BS523" s="113"/>
      <c r="BT523" s="113"/>
      <c r="BU523" s="113"/>
      <c r="BV523" s="113"/>
      <c r="BW523" s="113"/>
      <c r="BX523" s="113"/>
      <c r="BY523" s="113"/>
      <c r="BZ523" s="113"/>
      <c r="CA523" s="113"/>
      <c r="CB523" s="113"/>
      <c r="CC523" s="113"/>
      <c r="CD523" s="113"/>
      <c r="CE523" s="113"/>
      <c r="CF523" s="113"/>
      <c r="CG523" s="113"/>
      <c r="CH523" s="113"/>
      <c r="CI523" s="113"/>
      <c r="CJ523" s="113"/>
      <c r="CK523" s="113"/>
    </row>
    <row r="524" spans="1:89" s="112" customFormat="1">
      <c r="A524" s="162"/>
      <c r="B524" s="129">
        <v>515</v>
      </c>
      <c r="C524" s="106" t="s">
        <v>59</v>
      </c>
      <c r="D524" s="124" t="s">
        <v>47</v>
      </c>
      <c r="E524" s="210">
        <v>35</v>
      </c>
      <c r="F524" s="205">
        <f>F520+F521</f>
        <v>33.051000000000002</v>
      </c>
      <c r="G524" s="205"/>
      <c r="H524" s="205">
        <v>0.05</v>
      </c>
      <c r="I524" s="205">
        <f t="shared" si="127"/>
        <v>1.5E-3</v>
      </c>
      <c r="J524" s="147">
        <f t="shared" si="123"/>
        <v>0</v>
      </c>
      <c r="K524" s="147">
        <f t="shared" si="124"/>
        <v>1.6525500000000002</v>
      </c>
      <c r="L524" s="147">
        <f t="shared" si="125"/>
        <v>4.9576500000000003E-2</v>
      </c>
      <c r="M524" s="147">
        <f t="shared" si="126"/>
        <v>1.7021265000000001</v>
      </c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113"/>
      <c r="AS524" s="113"/>
      <c r="AT524" s="113"/>
      <c r="AU524" s="113"/>
      <c r="AV524" s="113"/>
      <c r="AW524" s="113"/>
      <c r="AX524" s="113"/>
      <c r="AY524" s="113"/>
      <c r="AZ524" s="113"/>
      <c r="BA524" s="113"/>
      <c r="BB524" s="113"/>
      <c r="BC524" s="113"/>
      <c r="BD524" s="113"/>
      <c r="BE524" s="113"/>
      <c r="BF524" s="113"/>
      <c r="BG524" s="113"/>
      <c r="BH524" s="113"/>
      <c r="BI524" s="113"/>
      <c r="BJ524" s="113"/>
      <c r="BK524" s="113"/>
      <c r="BL524" s="113"/>
      <c r="BM524" s="113"/>
      <c r="BN524" s="113"/>
      <c r="BO524" s="113"/>
      <c r="BP524" s="113"/>
      <c r="BQ524" s="113"/>
      <c r="BR524" s="113"/>
      <c r="BS524" s="113"/>
      <c r="BT524" s="113"/>
      <c r="BU524" s="113"/>
      <c r="BV524" s="113"/>
      <c r="BW524" s="113"/>
      <c r="BX524" s="113"/>
      <c r="BY524" s="113"/>
      <c r="BZ524" s="113"/>
      <c r="CA524" s="113"/>
      <c r="CB524" s="113"/>
      <c r="CC524" s="113"/>
      <c r="CD524" s="113"/>
      <c r="CE524" s="113"/>
      <c r="CF524" s="113"/>
      <c r="CG524" s="113"/>
      <c r="CH524" s="113"/>
      <c r="CI524" s="113"/>
      <c r="CJ524" s="113"/>
      <c r="CK524" s="113"/>
    </row>
    <row r="525" spans="1:89" s="112" customFormat="1">
      <c r="A525" s="162"/>
      <c r="B525" s="129">
        <v>516</v>
      </c>
      <c r="C525" s="106" t="s">
        <v>85</v>
      </c>
      <c r="D525" s="124" t="s">
        <v>11</v>
      </c>
      <c r="E525" s="210">
        <v>4</v>
      </c>
      <c r="F525" s="205">
        <v>4</v>
      </c>
      <c r="G525" s="205"/>
      <c r="H525" s="205">
        <v>2.19</v>
      </c>
      <c r="I525" s="205">
        <f t="shared" si="127"/>
        <v>6.5699999999999995E-2</v>
      </c>
      <c r="J525" s="147">
        <f t="shared" si="123"/>
        <v>0</v>
      </c>
      <c r="K525" s="147">
        <f t="shared" si="124"/>
        <v>8.76</v>
      </c>
      <c r="L525" s="147">
        <f t="shared" si="125"/>
        <v>0.26279999999999998</v>
      </c>
      <c r="M525" s="147">
        <f t="shared" si="126"/>
        <v>9.0228000000000002</v>
      </c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113"/>
      <c r="AS525" s="113"/>
      <c r="AT525" s="113"/>
      <c r="AU525" s="113"/>
      <c r="AV525" s="113"/>
      <c r="AW525" s="113"/>
      <c r="AX525" s="113"/>
      <c r="AY525" s="113"/>
      <c r="AZ525" s="113"/>
      <c r="BA525" s="113"/>
      <c r="BB525" s="113"/>
      <c r="BC525" s="113"/>
      <c r="BD525" s="113"/>
      <c r="BE525" s="113"/>
      <c r="BF525" s="113"/>
      <c r="BG525" s="113"/>
      <c r="BH525" s="113"/>
      <c r="BI525" s="113"/>
      <c r="BJ525" s="113"/>
      <c r="BK525" s="113"/>
      <c r="BL525" s="113"/>
      <c r="BM525" s="113"/>
      <c r="BN525" s="113"/>
      <c r="BO525" s="113"/>
      <c r="BP525" s="113"/>
      <c r="BQ525" s="113"/>
      <c r="BR525" s="113"/>
      <c r="BS525" s="113"/>
      <c r="BT525" s="113"/>
      <c r="BU525" s="113"/>
      <c r="BV525" s="113"/>
      <c r="BW525" s="113"/>
      <c r="BX525" s="113"/>
      <c r="BY525" s="113"/>
      <c r="BZ525" s="113"/>
      <c r="CA525" s="113"/>
      <c r="CB525" s="113"/>
      <c r="CC525" s="113"/>
      <c r="CD525" s="113"/>
      <c r="CE525" s="113"/>
      <c r="CF525" s="113"/>
      <c r="CG525" s="113"/>
      <c r="CH525" s="113"/>
      <c r="CI525" s="113"/>
      <c r="CJ525" s="113"/>
      <c r="CK525" s="113"/>
    </row>
    <row r="526" spans="1:89">
      <c r="B526" s="129">
        <v>517</v>
      </c>
      <c r="C526" s="109" t="s">
        <v>418</v>
      </c>
      <c r="D526" s="181" t="s">
        <v>6</v>
      </c>
      <c r="E526" s="172">
        <v>21.5</v>
      </c>
      <c r="F526" s="147">
        <v>6.7</v>
      </c>
      <c r="G526" s="211">
        <v>1.7</v>
      </c>
      <c r="H526" s="211"/>
      <c r="I526" s="147">
        <f t="shared" si="127"/>
        <v>0.17</v>
      </c>
      <c r="J526" s="147">
        <f t="shared" si="123"/>
        <v>11.39</v>
      </c>
      <c r="K526" s="147">
        <f t="shared" si="124"/>
        <v>0</v>
      </c>
      <c r="L526" s="147">
        <f t="shared" si="125"/>
        <v>1.139</v>
      </c>
      <c r="M526" s="147">
        <f t="shared" si="126"/>
        <v>12.529</v>
      </c>
      <c r="CD526" s="104"/>
      <c r="CE526" s="104"/>
      <c r="CF526" s="104"/>
      <c r="CG526" s="104"/>
      <c r="CH526" s="104"/>
      <c r="CI526" s="104"/>
      <c r="CJ526" s="104"/>
      <c r="CK526" s="104"/>
    </row>
    <row r="527" spans="1:89">
      <c r="B527" s="129">
        <v>518</v>
      </c>
      <c r="C527" s="106" t="s">
        <v>97</v>
      </c>
      <c r="D527" s="180" t="s">
        <v>6</v>
      </c>
      <c r="E527" s="172">
        <v>13</v>
      </c>
      <c r="F527" s="147">
        <f>F526*1.03</f>
        <v>6.9010000000000007</v>
      </c>
      <c r="G527" s="211"/>
      <c r="H527" s="211">
        <v>14.9</v>
      </c>
      <c r="I527" s="205">
        <f t="shared" si="127"/>
        <v>0.44700000000000001</v>
      </c>
      <c r="J527" s="147">
        <f t="shared" si="123"/>
        <v>0</v>
      </c>
      <c r="K527" s="147">
        <f t="shared" si="124"/>
        <v>102.82490000000001</v>
      </c>
      <c r="L527" s="147">
        <f t="shared" si="125"/>
        <v>3.0847470000000006</v>
      </c>
      <c r="M527" s="147">
        <f t="shared" si="126"/>
        <v>105.90964700000002</v>
      </c>
      <c r="CD527" s="104"/>
      <c r="CE527" s="104"/>
      <c r="CF527" s="104"/>
      <c r="CG527" s="104"/>
      <c r="CH527" s="104"/>
      <c r="CI527" s="104"/>
      <c r="CJ527" s="104"/>
      <c r="CK527" s="104"/>
    </row>
    <row r="528" spans="1:89">
      <c r="A528" s="160"/>
      <c r="B528" s="129">
        <v>519</v>
      </c>
      <c r="C528" s="131" t="s">
        <v>410</v>
      </c>
      <c r="D528" s="123" t="s">
        <v>114</v>
      </c>
      <c r="E528" s="204">
        <v>252</v>
      </c>
      <c r="F528" s="147">
        <v>5</v>
      </c>
      <c r="G528" s="147">
        <v>1.1000000000000001</v>
      </c>
      <c r="H528" s="147"/>
      <c r="I528" s="205">
        <f t="shared" si="127"/>
        <v>0.11000000000000001</v>
      </c>
      <c r="J528" s="147">
        <f t="shared" si="123"/>
        <v>5.5</v>
      </c>
      <c r="K528" s="147">
        <f t="shared" si="124"/>
        <v>0</v>
      </c>
      <c r="L528" s="147">
        <f t="shared" si="125"/>
        <v>0.55000000000000004</v>
      </c>
      <c r="M528" s="147">
        <f t="shared" si="126"/>
        <v>6.05</v>
      </c>
      <c r="CD528" s="104"/>
      <c r="CE528" s="104"/>
      <c r="CF528" s="104"/>
      <c r="CG528" s="104"/>
      <c r="CH528" s="104"/>
      <c r="CI528" s="104"/>
      <c r="CJ528" s="104"/>
      <c r="CK528" s="104"/>
    </row>
    <row r="529" spans="1:89" s="112" customFormat="1">
      <c r="A529" s="162"/>
      <c r="B529" s="129">
        <v>520</v>
      </c>
      <c r="C529" s="106" t="s">
        <v>122</v>
      </c>
      <c r="D529" s="124" t="s">
        <v>114</v>
      </c>
      <c r="E529" s="210">
        <v>90</v>
      </c>
      <c r="F529" s="205">
        <v>5</v>
      </c>
      <c r="G529" s="205"/>
      <c r="H529" s="205">
        <v>1.85</v>
      </c>
      <c r="I529" s="205">
        <f t="shared" si="127"/>
        <v>5.5500000000000001E-2</v>
      </c>
      <c r="J529" s="147">
        <f t="shared" si="123"/>
        <v>0</v>
      </c>
      <c r="K529" s="147">
        <f t="shared" si="124"/>
        <v>9.25</v>
      </c>
      <c r="L529" s="147">
        <f t="shared" si="125"/>
        <v>0.27750000000000002</v>
      </c>
      <c r="M529" s="147">
        <f t="shared" si="126"/>
        <v>9.5274999999999999</v>
      </c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  <c r="AG529" s="113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113"/>
      <c r="AS529" s="113"/>
      <c r="AT529" s="113"/>
      <c r="AU529" s="113"/>
      <c r="AV529" s="113"/>
      <c r="AW529" s="113"/>
      <c r="AX529" s="113"/>
      <c r="AY529" s="113"/>
      <c r="AZ529" s="113"/>
      <c r="BA529" s="113"/>
      <c r="BB529" s="113"/>
      <c r="BC529" s="113"/>
      <c r="BD529" s="113"/>
      <c r="BE529" s="113"/>
      <c r="BF529" s="113"/>
      <c r="BG529" s="113"/>
      <c r="BH529" s="113"/>
      <c r="BI529" s="113"/>
      <c r="BJ529" s="113"/>
      <c r="BK529" s="113"/>
      <c r="BL529" s="113"/>
      <c r="BM529" s="113"/>
      <c r="BN529" s="113"/>
      <c r="BO529" s="113"/>
      <c r="BP529" s="113"/>
      <c r="BQ529" s="113"/>
      <c r="BR529" s="113"/>
      <c r="BS529" s="113"/>
      <c r="BT529" s="113"/>
      <c r="BU529" s="113"/>
      <c r="BV529" s="113"/>
      <c r="BW529" s="113"/>
      <c r="BX529" s="113"/>
      <c r="BY529" s="113"/>
      <c r="BZ529" s="113"/>
      <c r="CA529" s="113"/>
      <c r="CB529" s="113"/>
      <c r="CC529" s="113"/>
      <c r="CD529" s="113"/>
      <c r="CE529" s="113"/>
      <c r="CF529" s="113"/>
      <c r="CG529" s="113"/>
      <c r="CH529" s="113"/>
      <c r="CI529" s="113"/>
      <c r="CJ529" s="113"/>
      <c r="CK529" s="113"/>
    </row>
    <row r="530" spans="1:89" s="112" customFormat="1">
      <c r="A530" s="162"/>
      <c r="B530" s="129">
        <v>521</v>
      </c>
      <c r="C530" s="106" t="s">
        <v>432</v>
      </c>
      <c r="D530" s="124" t="s">
        <v>114</v>
      </c>
      <c r="E530" s="210">
        <v>90</v>
      </c>
      <c r="F530" s="205">
        <v>0.5</v>
      </c>
      <c r="G530" s="205"/>
      <c r="H530" s="205">
        <v>1.85</v>
      </c>
      <c r="I530" s="205">
        <f t="shared" si="127"/>
        <v>5.5500000000000001E-2</v>
      </c>
      <c r="J530" s="147">
        <f t="shared" si="123"/>
        <v>0</v>
      </c>
      <c r="K530" s="147">
        <f t="shared" si="124"/>
        <v>0.92500000000000004</v>
      </c>
      <c r="L530" s="147">
        <f t="shared" si="125"/>
        <v>2.775E-2</v>
      </c>
      <c r="M530" s="147">
        <f t="shared" si="126"/>
        <v>0.9527500000000001</v>
      </c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113"/>
      <c r="AS530" s="113"/>
      <c r="AT530" s="113"/>
      <c r="AU530" s="113"/>
      <c r="AV530" s="113"/>
      <c r="AW530" s="113"/>
      <c r="AX530" s="113"/>
      <c r="AY530" s="113"/>
      <c r="AZ530" s="113"/>
      <c r="BA530" s="113"/>
      <c r="BB530" s="113"/>
      <c r="BC530" s="113"/>
      <c r="BD530" s="113"/>
      <c r="BE530" s="113"/>
      <c r="BF530" s="113"/>
      <c r="BG530" s="113"/>
      <c r="BH530" s="113"/>
      <c r="BI530" s="113"/>
      <c r="BJ530" s="113"/>
      <c r="BK530" s="113"/>
      <c r="BL530" s="113"/>
      <c r="BM530" s="113"/>
      <c r="BN530" s="113"/>
      <c r="BO530" s="113"/>
      <c r="BP530" s="113"/>
      <c r="BQ530" s="113"/>
      <c r="BR530" s="113"/>
      <c r="BS530" s="113"/>
      <c r="BT530" s="113"/>
      <c r="BU530" s="113"/>
      <c r="BV530" s="113"/>
      <c r="BW530" s="113"/>
      <c r="BX530" s="113"/>
      <c r="BY530" s="113"/>
      <c r="BZ530" s="113"/>
      <c r="CA530" s="113"/>
      <c r="CB530" s="113"/>
      <c r="CC530" s="113"/>
      <c r="CD530" s="113"/>
      <c r="CE530" s="113"/>
      <c r="CF530" s="113"/>
      <c r="CG530" s="113"/>
      <c r="CH530" s="113"/>
      <c r="CI530" s="113"/>
      <c r="CJ530" s="113"/>
      <c r="CK530" s="113"/>
    </row>
    <row r="531" spans="1:89" s="112" customFormat="1">
      <c r="A531" s="162"/>
      <c r="B531" s="129">
        <v>522</v>
      </c>
      <c r="C531" s="106" t="s">
        <v>119</v>
      </c>
      <c r="D531" s="124" t="s">
        <v>47</v>
      </c>
      <c r="E531" s="210">
        <v>20</v>
      </c>
      <c r="F531" s="205">
        <f>F529*0.07*0.25</f>
        <v>8.7500000000000008E-2</v>
      </c>
      <c r="G531" s="205"/>
      <c r="H531" s="205">
        <v>4.87</v>
      </c>
      <c r="I531" s="205">
        <f t="shared" si="127"/>
        <v>0.14610000000000001</v>
      </c>
      <c r="J531" s="147">
        <f t="shared" si="123"/>
        <v>0</v>
      </c>
      <c r="K531" s="147">
        <f t="shared" si="124"/>
        <v>0.42612500000000003</v>
      </c>
      <c r="L531" s="147">
        <f t="shared" si="125"/>
        <v>1.2783750000000002E-2</v>
      </c>
      <c r="M531" s="147">
        <f t="shared" si="126"/>
        <v>0.43890875000000001</v>
      </c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  <c r="AA531" s="113"/>
      <c r="AB531" s="113"/>
      <c r="AC531" s="113"/>
      <c r="AD531" s="113"/>
      <c r="AE531" s="113"/>
      <c r="AF531" s="113"/>
      <c r="AG531" s="113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113"/>
      <c r="AS531" s="113"/>
      <c r="AT531" s="113"/>
      <c r="AU531" s="113"/>
      <c r="AV531" s="113"/>
      <c r="AW531" s="113"/>
      <c r="AX531" s="113"/>
      <c r="AY531" s="113"/>
      <c r="AZ531" s="113"/>
      <c r="BA531" s="113"/>
      <c r="BB531" s="113"/>
      <c r="BC531" s="113"/>
      <c r="BD531" s="113"/>
      <c r="BE531" s="113"/>
      <c r="BF531" s="113"/>
      <c r="BG531" s="113"/>
      <c r="BH531" s="113"/>
      <c r="BI531" s="113"/>
      <c r="BJ531" s="113"/>
      <c r="BK531" s="113"/>
      <c r="BL531" s="113"/>
      <c r="BM531" s="113"/>
      <c r="BN531" s="113"/>
      <c r="BO531" s="113"/>
      <c r="BP531" s="113"/>
      <c r="BQ531" s="113"/>
      <c r="BR531" s="113"/>
      <c r="BS531" s="113"/>
      <c r="BT531" s="113"/>
      <c r="BU531" s="113"/>
      <c r="BV531" s="113"/>
      <c r="BW531" s="113"/>
      <c r="BX531" s="113"/>
      <c r="BY531" s="113"/>
      <c r="BZ531" s="113"/>
      <c r="CA531" s="113"/>
      <c r="CB531" s="113"/>
      <c r="CC531" s="113"/>
      <c r="CD531" s="113"/>
      <c r="CE531" s="113"/>
      <c r="CF531" s="113"/>
      <c r="CG531" s="113"/>
      <c r="CH531" s="113"/>
      <c r="CI531" s="113"/>
      <c r="CJ531" s="113"/>
      <c r="CK531" s="113"/>
    </row>
    <row r="532" spans="1:89">
      <c r="B532" s="129">
        <v>523</v>
      </c>
      <c r="C532" s="136" t="s">
        <v>378</v>
      </c>
      <c r="D532" s="123"/>
      <c r="E532" s="129"/>
      <c r="F532" s="147"/>
      <c r="G532" s="147"/>
      <c r="H532" s="147"/>
      <c r="I532" s="205"/>
      <c r="J532" s="147">
        <f t="shared" si="123"/>
        <v>0</v>
      </c>
      <c r="K532" s="147">
        <f t="shared" si="124"/>
        <v>0</v>
      </c>
      <c r="L532" s="147">
        <f t="shared" si="125"/>
        <v>0</v>
      </c>
      <c r="M532" s="147">
        <f t="shared" si="126"/>
        <v>0</v>
      </c>
      <c r="CD532" s="104"/>
      <c r="CE532" s="104"/>
      <c r="CF532" s="104"/>
      <c r="CG532" s="104"/>
      <c r="CH532" s="104"/>
      <c r="CI532" s="104"/>
      <c r="CJ532" s="104"/>
      <c r="CK532" s="104"/>
    </row>
    <row r="533" spans="1:89" s="107" customFormat="1">
      <c r="B533" s="129">
        <v>524</v>
      </c>
      <c r="C533" s="182" t="s">
        <v>477</v>
      </c>
      <c r="D533" s="122"/>
      <c r="E533" s="115"/>
      <c r="F533" s="208"/>
      <c r="G533" s="208"/>
      <c r="H533" s="208"/>
      <c r="I533" s="206"/>
      <c r="J533" s="147">
        <f t="shared" ref="J533:J549" si="128">F533*G533</f>
        <v>0</v>
      </c>
      <c r="K533" s="147">
        <f t="shared" ref="K533:K549" si="129">F533*H533</f>
        <v>0</v>
      </c>
      <c r="L533" s="147">
        <f t="shared" ref="L533:L549" si="130">F533*I533</f>
        <v>0</v>
      </c>
      <c r="M533" s="147">
        <f t="shared" ref="M533:M549" si="131">J533+K533+L533</f>
        <v>0</v>
      </c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  <c r="AG533" s="108"/>
      <c r="AH533" s="108"/>
      <c r="AI533" s="108"/>
      <c r="AJ533" s="108"/>
      <c r="AK533" s="108"/>
      <c r="AL533" s="108"/>
      <c r="AM533" s="108"/>
      <c r="AN533" s="108"/>
      <c r="AO533" s="108"/>
      <c r="AP533" s="108"/>
      <c r="AQ533" s="108"/>
      <c r="AR533" s="108"/>
      <c r="AS533" s="108"/>
      <c r="AT533" s="108"/>
      <c r="AU533" s="108"/>
      <c r="AV533" s="108"/>
      <c r="AW533" s="108"/>
      <c r="AX533" s="108"/>
      <c r="AY533" s="108"/>
      <c r="AZ533" s="108"/>
      <c r="BA533" s="108"/>
      <c r="BB533" s="108"/>
      <c r="BC533" s="108"/>
      <c r="BD533" s="108"/>
      <c r="BE533" s="108"/>
      <c r="BF533" s="108"/>
      <c r="BG533" s="108"/>
      <c r="BH533" s="108"/>
      <c r="BI533" s="108"/>
      <c r="BJ533" s="108"/>
      <c r="BK533" s="108"/>
      <c r="BL533" s="108"/>
      <c r="BM533" s="108"/>
      <c r="BN533" s="108"/>
      <c r="BO533" s="108"/>
      <c r="BP533" s="108"/>
      <c r="BQ533" s="108"/>
      <c r="BR533" s="108"/>
      <c r="BS533" s="108"/>
      <c r="BT533" s="108"/>
      <c r="BU533" s="108"/>
      <c r="BV533" s="108"/>
      <c r="BW533" s="108"/>
      <c r="BX533" s="108"/>
      <c r="BY533" s="108"/>
      <c r="BZ533" s="108"/>
      <c r="CA533" s="108"/>
      <c r="CB533" s="108"/>
      <c r="CC533" s="108"/>
      <c r="CD533" s="108"/>
      <c r="CE533" s="108"/>
      <c r="CF533" s="108"/>
      <c r="CG533" s="108"/>
      <c r="CH533" s="108"/>
      <c r="CI533" s="108"/>
      <c r="CJ533" s="108"/>
      <c r="CK533" s="108"/>
    </row>
    <row r="534" spans="1:89">
      <c r="A534" s="160"/>
      <c r="B534" s="129">
        <v>525</v>
      </c>
      <c r="C534" s="143" t="s">
        <v>476</v>
      </c>
      <c r="D534" s="123" t="s">
        <v>6</v>
      </c>
      <c r="E534" s="204">
        <v>570</v>
      </c>
      <c r="F534" s="147">
        <f>F546*2.5</f>
        <v>39.925000000000004</v>
      </c>
      <c r="G534" s="147">
        <v>1</v>
      </c>
      <c r="H534" s="147"/>
      <c r="I534" s="205">
        <f t="shared" si="127"/>
        <v>0.1</v>
      </c>
      <c r="J534" s="147">
        <f t="shared" si="128"/>
        <v>39.925000000000004</v>
      </c>
      <c r="K534" s="147">
        <f t="shared" si="129"/>
        <v>0</v>
      </c>
      <c r="L534" s="147">
        <f t="shared" si="130"/>
        <v>3.9925000000000006</v>
      </c>
      <c r="M534" s="147">
        <f t="shared" si="131"/>
        <v>43.917500000000004</v>
      </c>
      <c r="CD534" s="104"/>
      <c r="CE534" s="104"/>
      <c r="CF534" s="104"/>
      <c r="CG534" s="104"/>
      <c r="CH534" s="104"/>
      <c r="CI534" s="104"/>
      <c r="CJ534" s="104"/>
      <c r="CK534" s="104"/>
    </row>
    <row r="535" spans="1:89">
      <c r="A535" s="160"/>
      <c r="B535" s="129">
        <v>526</v>
      </c>
      <c r="C535" s="157" t="s">
        <v>399</v>
      </c>
      <c r="D535" s="123" t="s">
        <v>6</v>
      </c>
      <c r="E535" s="204">
        <v>249</v>
      </c>
      <c r="F535" s="147">
        <v>15.8</v>
      </c>
      <c r="G535" s="147">
        <v>1.35</v>
      </c>
      <c r="H535" s="147"/>
      <c r="I535" s="205">
        <f t="shared" si="127"/>
        <v>0.13500000000000001</v>
      </c>
      <c r="J535" s="147">
        <f t="shared" si="128"/>
        <v>21.330000000000002</v>
      </c>
      <c r="K535" s="147">
        <f t="shared" si="129"/>
        <v>0</v>
      </c>
      <c r="L535" s="147">
        <f t="shared" si="130"/>
        <v>2.1330000000000005</v>
      </c>
      <c r="M535" s="147">
        <f t="shared" si="131"/>
        <v>23.463000000000001</v>
      </c>
      <c r="CD535" s="104"/>
      <c r="CE535" s="104"/>
      <c r="CF535" s="104"/>
      <c r="CG535" s="104"/>
      <c r="CH535" s="104"/>
      <c r="CI535" s="104"/>
      <c r="CJ535" s="104"/>
      <c r="CK535" s="104"/>
    </row>
    <row r="536" spans="1:89">
      <c r="A536" s="104"/>
      <c r="B536" s="129">
        <v>527</v>
      </c>
      <c r="C536" s="131" t="s">
        <v>400</v>
      </c>
      <c r="D536" s="123" t="s">
        <v>6</v>
      </c>
      <c r="E536" s="204"/>
      <c r="F536" s="147">
        <v>15.8</v>
      </c>
      <c r="G536" s="147">
        <v>1.65</v>
      </c>
      <c r="H536" s="147"/>
      <c r="I536" s="205">
        <f t="shared" si="127"/>
        <v>0.16500000000000001</v>
      </c>
      <c r="J536" s="147">
        <f t="shared" si="128"/>
        <v>26.07</v>
      </c>
      <c r="K536" s="147">
        <f t="shared" si="129"/>
        <v>0</v>
      </c>
      <c r="L536" s="147">
        <f t="shared" si="130"/>
        <v>2.6070000000000002</v>
      </c>
      <c r="M536" s="147">
        <f t="shared" si="131"/>
        <v>28.677</v>
      </c>
      <c r="CD536" s="104"/>
      <c r="CE536" s="104"/>
      <c r="CF536" s="104"/>
      <c r="CG536" s="104"/>
      <c r="CH536" s="104"/>
      <c r="CI536" s="104"/>
      <c r="CJ536" s="104"/>
      <c r="CK536" s="104"/>
    </row>
    <row r="537" spans="1:89" s="112" customFormat="1">
      <c r="B537" s="129">
        <v>528</v>
      </c>
      <c r="C537" s="106" t="s">
        <v>391</v>
      </c>
      <c r="D537" s="124" t="s">
        <v>502</v>
      </c>
      <c r="E537" s="117"/>
      <c r="F537" s="205">
        <v>1</v>
      </c>
      <c r="G537" s="205"/>
      <c r="H537" s="205">
        <v>5.17</v>
      </c>
      <c r="I537" s="205">
        <f t="shared" si="127"/>
        <v>0.15509999999999999</v>
      </c>
      <c r="J537" s="147">
        <f t="shared" si="128"/>
        <v>0</v>
      </c>
      <c r="K537" s="147">
        <f t="shared" si="129"/>
        <v>5.17</v>
      </c>
      <c r="L537" s="147">
        <f t="shared" si="130"/>
        <v>0.15509999999999999</v>
      </c>
      <c r="M537" s="147">
        <f t="shared" si="131"/>
        <v>5.3250999999999999</v>
      </c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113"/>
      <c r="AS537" s="113"/>
      <c r="AT537" s="113"/>
      <c r="AU537" s="113"/>
      <c r="AV537" s="113"/>
      <c r="AW537" s="113"/>
      <c r="AX537" s="113"/>
      <c r="AY537" s="113"/>
      <c r="AZ537" s="113"/>
      <c r="BA537" s="113"/>
      <c r="BB537" s="113"/>
      <c r="BC537" s="113"/>
      <c r="BD537" s="113"/>
      <c r="BE537" s="113"/>
      <c r="BF537" s="113"/>
      <c r="BG537" s="113"/>
      <c r="BH537" s="113"/>
      <c r="BI537" s="113"/>
      <c r="BJ537" s="113"/>
      <c r="BK537" s="113"/>
      <c r="BL537" s="113"/>
      <c r="BM537" s="113"/>
      <c r="BN537" s="113"/>
      <c r="BO537" s="113"/>
      <c r="BP537" s="113"/>
      <c r="BQ537" s="113"/>
      <c r="BR537" s="113"/>
      <c r="BS537" s="113"/>
      <c r="BT537" s="113"/>
      <c r="BU537" s="113"/>
      <c r="BV537" s="113"/>
      <c r="BW537" s="113"/>
      <c r="BX537" s="113"/>
      <c r="BY537" s="113"/>
      <c r="BZ537" s="113"/>
      <c r="CA537" s="113"/>
      <c r="CB537" s="113"/>
      <c r="CC537" s="113"/>
      <c r="CD537" s="113"/>
      <c r="CE537" s="113"/>
      <c r="CF537" s="113"/>
      <c r="CG537" s="113"/>
      <c r="CH537" s="113"/>
      <c r="CI537" s="113"/>
      <c r="CJ537" s="113"/>
      <c r="CK537" s="113"/>
    </row>
    <row r="538" spans="1:89" s="112" customFormat="1">
      <c r="A538" s="162"/>
      <c r="B538" s="129">
        <v>529</v>
      </c>
      <c r="C538" s="106" t="s">
        <v>108</v>
      </c>
      <c r="D538" s="124" t="s">
        <v>47</v>
      </c>
      <c r="E538" s="210">
        <v>200</v>
      </c>
      <c r="F538" s="205">
        <f>1.5*(F535+F534)</f>
        <v>83.587500000000006</v>
      </c>
      <c r="G538" s="205"/>
      <c r="H538" s="205">
        <v>0.6</v>
      </c>
      <c r="I538" s="205">
        <f t="shared" si="127"/>
        <v>1.7999999999999999E-2</v>
      </c>
      <c r="J538" s="147">
        <f t="shared" si="128"/>
        <v>0</v>
      </c>
      <c r="K538" s="147">
        <f t="shared" si="129"/>
        <v>50.152500000000003</v>
      </c>
      <c r="L538" s="147">
        <f t="shared" si="130"/>
        <v>1.504575</v>
      </c>
      <c r="M538" s="147">
        <f t="shared" si="131"/>
        <v>51.657075000000006</v>
      </c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113"/>
      <c r="AS538" s="113"/>
      <c r="AT538" s="113"/>
      <c r="AU538" s="113"/>
      <c r="AV538" s="113"/>
      <c r="AW538" s="113"/>
      <c r="AX538" s="113"/>
      <c r="AY538" s="113"/>
      <c r="AZ538" s="113"/>
      <c r="BA538" s="113"/>
      <c r="BB538" s="113"/>
      <c r="BC538" s="113"/>
      <c r="BD538" s="113"/>
      <c r="BE538" s="113"/>
      <c r="BF538" s="113"/>
      <c r="BG538" s="113"/>
      <c r="BH538" s="113"/>
      <c r="BI538" s="113"/>
      <c r="BJ538" s="113"/>
      <c r="BK538" s="113"/>
      <c r="BL538" s="113"/>
      <c r="BM538" s="113"/>
      <c r="BN538" s="113"/>
      <c r="BO538" s="113"/>
      <c r="BP538" s="113"/>
      <c r="BQ538" s="113"/>
      <c r="BR538" s="113"/>
      <c r="BS538" s="113"/>
      <c r="BT538" s="113"/>
      <c r="BU538" s="113"/>
      <c r="BV538" s="113"/>
      <c r="BW538" s="113"/>
      <c r="BX538" s="113"/>
      <c r="BY538" s="113"/>
      <c r="BZ538" s="113"/>
      <c r="CA538" s="113"/>
      <c r="CB538" s="113"/>
      <c r="CC538" s="113"/>
      <c r="CD538" s="113"/>
      <c r="CE538" s="113"/>
      <c r="CF538" s="113"/>
      <c r="CG538" s="113"/>
      <c r="CH538" s="113"/>
      <c r="CI538" s="113"/>
      <c r="CJ538" s="113"/>
      <c r="CK538" s="113"/>
    </row>
    <row r="539" spans="1:89" s="112" customFormat="1">
      <c r="A539" s="162"/>
      <c r="B539" s="129">
        <v>530</v>
      </c>
      <c r="C539" s="106" t="s">
        <v>110</v>
      </c>
      <c r="D539" s="124" t="s">
        <v>6</v>
      </c>
      <c r="E539" s="210">
        <v>382</v>
      </c>
      <c r="F539" s="205">
        <f>0.375*F534</f>
        <v>14.971875000000001</v>
      </c>
      <c r="G539" s="205"/>
      <c r="H539" s="205">
        <v>1.59</v>
      </c>
      <c r="I539" s="205">
        <f t="shared" si="127"/>
        <v>4.7699999999999999E-2</v>
      </c>
      <c r="J539" s="147">
        <f t="shared" si="128"/>
        <v>0</v>
      </c>
      <c r="K539" s="147">
        <f t="shared" si="129"/>
        <v>23.805281250000004</v>
      </c>
      <c r="L539" s="147">
        <f t="shared" si="130"/>
        <v>0.71415843750000008</v>
      </c>
      <c r="M539" s="147">
        <f t="shared" si="131"/>
        <v>24.519439687500004</v>
      </c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  <c r="AG539" s="113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113"/>
      <c r="AS539" s="113"/>
      <c r="AT539" s="113"/>
      <c r="AU539" s="113"/>
      <c r="AV539" s="113"/>
      <c r="AW539" s="113"/>
      <c r="AX539" s="113"/>
      <c r="AY539" s="113"/>
      <c r="AZ539" s="113"/>
      <c r="BA539" s="113"/>
      <c r="BB539" s="113"/>
      <c r="BC539" s="113"/>
      <c r="BD539" s="113"/>
      <c r="BE539" s="113"/>
      <c r="BF539" s="113"/>
      <c r="BG539" s="113"/>
      <c r="BH539" s="113"/>
      <c r="BI539" s="113"/>
      <c r="BJ539" s="113"/>
      <c r="BK539" s="113"/>
      <c r="BL539" s="113"/>
      <c r="BM539" s="113"/>
      <c r="BN539" s="113"/>
      <c r="BO539" s="113"/>
      <c r="BP539" s="113"/>
      <c r="BQ539" s="113"/>
      <c r="BR539" s="113"/>
      <c r="BS539" s="113"/>
      <c r="BT539" s="113"/>
      <c r="BU539" s="113"/>
      <c r="BV539" s="113"/>
      <c r="BW539" s="113"/>
      <c r="BX539" s="113"/>
      <c r="BY539" s="113"/>
      <c r="BZ539" s="113"/>
      <c r="CA539" s="113"/>
      <c r="CB539" s="113"/>
      <c r="CC539" s="113"/>
      <c r="CD539" s="113"/>
      <c r="CE539" s="113"/>
      <c r="CF539" s="113"/>
      <c r="CG539" s="113"/>
      <c r="CH539" s="113"/>
      <c r="CI539" s="113"/>
      <c r="CJ539" s="113"/>
      <c r="CK539" s="113"/>
    </row>
    <row r="540" spans="1:89">
      <c r="A540" s="160"/>
      <c r="B540" s="129">
        <v>531</v>
      </c>
      <c r="C540" s="109" t="s">
        <v>511</v>
      </c>
      <c r="D540" s="123" t="s">
        <v>6</v>
      </c>
      <c r="E540" s="204">
        <v>155.5</v>
      </c>
      <c r="F540" s="147">
        <v>15.8</v>
      </c>
      <c r="G540" s="147">
        <v>2.5</v>
      </c>
      <c r="H540" s="147"/>
      <c r="I540" s="205">
        <f t="shared" si="127"/>
        <v>0.25</v>
      </c>
      <c r="J540" s="147">
        <f t="shared" si="128"/>
        <v>39.5</v>
      </c>
      <c r="K540" s="147">
        <f t="shared" si="129"/>
        <v>0</v>
      </c>
      <c r="L540" s="147">
        <f t="shared" si="130"/>
        <v>3.95</v>
      </c>
      <c r="M540" s="147">
        <f t="shared" si="131"/>
        <v>43.45</v>
      </c>
      <c r="CD540" s="104"/>
      <c r="CE540" s="104"/>
      <c r="CF540" s="104"/>
      <c r="CG540" s="104"/>
      <c r="CH540" s="104"/>
      <c r="CI540" s="104"/>
      <c r="CJ540" s="104"/>
      <c r="CK540" s="104"/>
    </row>
    <row r="541" spans="1:89" ht="12.75" customHeight="1">
      <c r="B541" s="129">
        <v>532</v>
      </c>
      <c r="C541" s="106" t="s">
        <v>395</v>
      </c>
      <c r="D541" s="123"/>
      <c r="E541" s="129"/>
      <c r="F541" s="147">
        <f>F540*1.1</f>
        <v>17.380000000000003</v>
      </c>
      <c r="G541" s="147"/>
      <c r="H541" s="147">
        <v>0.25</v>
      </c>
      <c r="I541" s="205">
        <f t="shared" si="127"/>
        <v>7.4999999999999997E-3</v>
      </c>
      <c r="J541" s="147">
        <f t="shared" si="128"/>
        <v>0</v>
      </c>
      <c r="K541" s="147">
        <f t="shared" si="129"/>
        <v>4.3450000000000006</v>
      </c>
      <c r="L541" s="147">
        <f t="shared" si="130"/>
        <v>0.13035000000000002</v>
      </c>
      <c r="M541" s="147">
        <f t="shared" si="131"/>
        <v>4.4753500000000006</v>
      </c>
      <c r="CD541" s="104"/>
      <c r="CE541" s="104"/>
      <c r="CF541" s="104"/>
      <c r="CG541" s="104"/>
      <c r="CH541" s="104"/>
      <c r="CI541" s="104"/>
      <c r="CJ541" s="104"/>
      <c r="CK541" s="104"/>
    </row>
    <row r="542" spans="1:89">
      <c r="B542" s="129">
        <v>533</v>
      </c>
      <c r="C542" s="106" t="s">
        <v>434</v>
      </c>
      <c r="D542" s="123"/>
      <c r="E542" s="129"/>
      <c r="F542" s="147">
        <f>F540*1.05</f>
        <v>16.59</v>
      </c>
      <c r="G542" s="147"/>
      <c r="H542" s="147">
        <v>4.8</v>
      </c>
      <c r="I542" s="205">
        <f t="shared" si="127"/>
        <v>0.14399999999999999</v>
      </c>
      <c r="J542" s="147">
        <f t="shared" si="128"/>
        <v>0</v>
      </c>
      <c r="K542" s="147">
        <f t="shared" si="129"/>
        <v>79.631999999999991</v>
      </c>
      <c r="L542" s="147">
        <f t="shared" si="130"/>
        <v>2.38896</v>
      </c>
      <c r="M542" s="147">
        <f t="shared" si="131"/>
        <v>82.020959999999988</v>
      </c>
      <c r="CD542" s="104"/>
      <c r="CE542" s="104"/>
      <c r="CF542" s="104"/>
      <c r="CG542" s="104"/>
      <c r="CH542" s="104"/>
      <c r="CI542" s="104"/>
      <c r="CJ542" s="104"/>
      <c r="CK542" s="104"/>
    </row>
    <row r="543" spans="1:89">
      <c r="A543" s="160"/>
      <c r="B543" s="129">
        <v>534</v>
      </c>
      <c r="C543" s="131" t="s">
        <v>111</v>
      </c>
      <c r="D543" s="123" t="s">
        <v>6</v>
      </c>
      <c r="E543" s="204">
        <v>400</v>
      </c>
      <c r="F543" s="147">
        <v>39.93</v>
      </c>
      <c r="G543" s="147">
        <v>0.85</v>
      </c>
      <c r="H543" s="147"/>
      <c r="I543" s="205">
        <f t="shared" si="127"/>
        <v>8.5000000000000006E-2</v>
      </c>
      <c r="J543" s="147">
        <f t="shared" si="128"/>
        <v>33.9405</v>
      </c>
      <c r="K543" s="147">
        <f t="shared" si="129"/>
        <v>0</v>
      </c>
      <c r="L543" s="147">
        <f t="shared" si="130"/>
        <v>3.39405</v>
      </c>
      <c r="M543" s="147">
        <f t="shared" si="131"/>
        <v>37.33455</v>
      </c>
      <c r="CD543" s="104"/>
      <c r="CE543" s="104"/>
      <c r="CF543" s="104"/>
      <c r="CG543" s="104"/>
      <c r="CH543" s="104"/>
      <c r="CI543" s="104"/>
      <c r="CJ543" s="104"/>
      <c r="CK543" s="104"/>
    </row>
    <row r="544" spans="1:89" s="112" customFormat="1">
      <c r="A544" s="162"/>
      <c r="B544" s="129">
        <v>535</v>
      </c>
      <c r="C544" s="106" t="s">
        <v>225</v>
      </c>
      <c r="D544" s="124" t="s">
        <v>6</v>
      </c>
      <c r="E544" s="210">
        <v>400</v>
      </c>
      <c r="F544" s="205">
        <f>F543*1.1</f>
        <v>43.923000000000002</v>
      </c>
      <c r="G544" s="205"/>
      <c r="H544" s="205">
        <v>0.37</v>
      </c>
      <c r="I544" s="205">
        <f t="shared" si="127"/>
        <v>1.1099999999999999E-2</v>
      </c>
      <c r="J544" s="147">
        <f t="shared" si="128"/>
        <v>0</v>
      </c>
      <c r="K544" s="147">
        <f t="shared" si="129"/>
        <v>16.25151</v>
      </c>
      <c r="L544" s="147">
        <f t="shared" si="130"/>
        <v>0.48754529999999996</v>
      </c>
      <c r="M544" s="147">
        <f t="shared" si="131"/>
        <v>16.7390553</v>
      </c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3"/>
      <c r="AG544" s="113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113"/>
      <c r="AS544" s="113"/>
      <c r="AT544" s="113"/>
      <c r="AU544" s="113"/>
      <c r="AV544" s="113"/>
      <c r="AW544" s="113"/>
      <c r="AX544" s="113"/>
      <c r="AY544" s="113"/>
      <c r="AZ544" s="113"/>
      <c r="BA544" s="113"/>
      <c r="BB544" s="113"/>
      <c r="BC544" s="113"/>
      <c r="BD544" s="113"/>
      <c r="BE544" s="113"/>
      <c r="BF544" s="113"/>
      <c r="BG544" s="113"/>
      <c r="BH544" s="113"/>
      <c r="BI544" s="113"/>
      <c r="BJ544" s="113"/>
      <c r="BK544" s="113"/>
      <c r="BL544" s="113"/>
      <c r="BM544" s="113"/>
      <c r="BN544" s="113"/>
      <c r="BO544" s="113"/>
      <c r="BP544" s="113"/>
      <c r="BQ544" s="113"/>
      <c r="BR544" s="113"/>
      <c r="BS544" s="113"/>
      <c r="BT544" s="113"/>
      <c r="BU544" s="113"/>
      <c r="BV544" s="113"/>
      <c r="BW544" s="113"/>
      <c r="BX544" s="113"/>
      <c r="BY544" s="113"/>
      <c r="BZ544" s="113"/>
      <c r="CA544" s="113"/>
      <c r="CB544" s="113"/>
      <c r="CC544" s="113"/>
      <c r="CD544" s="113"/>
      <c r="CE544" s="113"/>
      <c r="CF544" s="113"/>
      <c r="CG544" s="113"/>
      <c r="CH544" s="113"/>
      <c r="CI544" s="113"/>
      <c r="CJ544" s="113"/>
      <c r="CK544" s="113"/>
    </row>
    <row r="545" spans="1:89">
      <c r="A545" s="160"/>
      <c r="B545" s="129">
        <v>536</v>
      </c>
      <c r="C545" s="131" t="s">
        <v>120</v>
      </c>
      <c r="D545" s="123" t="s">
        <v>114</v>
      </c>
      <c r="E545" s="204">
        <v>252</v>
      </c>
      <c r="F545" s="147">
        <f>F546+F547</f>
        <v>21.97</v>
      </c>
      <c r="G545" s="147">
        <v>1.1000000000000001</v>
      </c>
      <c r="H545" s="147"/>
      <c r="I545" s="205">
        <f t="shared" si="127"/>
        <v>0.11000000000000001</v>
      </c>
      <c r="J545" s="147">
        <f t="shared" si="128"/>
        <v>24.167000000000002</v>
      </c>
      <c r="K545" s="147">
        <f t="shared" si="129"/>
        <v>0</v>
      </c>
      <c r="L545" s="147">
        <f t="shared" si="130"/>
        <v>2.4167000000000001</v>
      </c>
      <c r="M545" s="147">
        <f t="shared" si="131"/>
        <v>26.5837</v>
      </c>
      <c r="CD545" s="104"/>
      <c r="CE545" s="104"/>
      <c r="CF545" s="104"/>
      <c r="CG545" s="104"/>
      <c r="CH545" s="104"/>
      <c r="CI545" s="104"/>
      <c r="CJ545" s="104"/>
      <c r="CK545" s="104"/>
    </row>
    <row r="546" spans="1:89" s="112" customFormat="1">
      <c r="A546" s="162"/>
      <c r="B546" s="129">
        <v>537</v>
      </c>
      <c r="C546" s="106" t="s">
        <v>121</v>
      </c>
      <c r="D546" s="124" t="s">
        <v>114</v>
      </c>
      <c r="E546" s="210">
        <v>162</v>
      </c>
      <c r="F546" s="205">
        <f>(4.37+3.615)*2</f>
        <v>15.97</v>
      </c>
      <c r="G546" s="205"/>
      <c r="H546" s="205">
        <v>1.85</v>
      </c>
      <c r="I546" s="205">
        <f t="shared" si="127"/>
        <v>5.5500000000000001E-2</v>
      </c>
      <c r="J546" s="147">
        <f t="shared" si="128"/>
        <v>0</v>
      </c>
      <c r="K546" s="147">
        <f t="shared" si="129"/>
        <v>29.544500000000003</v>
      </c>
      <c r="L546" s="147">
        <f t="shared" si="130"/>
        <v>0.88633500000000009</v>
      </c>
      <c r="M546" s="147">
        <f t="shared" si="131"/>
        <v>30.430835000000002</v>
      </c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  <c r="AG546" s="113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113"/>
      <c r="AS546" s="113"/>
      <c r="AT546" s="113"/>
      <c r="AU546" s="113"/>
      <c r="AV546" s="113"/>
      <c r="AW546" s="113"/>
      <c r="AX546" s="113"/>
      <c r="AY546" s="113"/>
      <c r="AZ546" s="113"/>
      <c r="BA546" s="113"/>
      <c r="BB546" s="113"/>
      <c r="BC546" s="113"/>
      <c r="BD546" s="113"/>
      <c r="BE546" s="113"/>
      <c r="BF546" s="113"/>
      <c r="BG546" s="113"/>
      <c r="BH546" s="113"/>
      <c r="BI546" s="113"/>
      <c r="BJ546" s="113"/>
      <c r="BK546" s="113"/>
      <c r="BL546" s="113"/>
      <c r="BM546" s="113"/>
      <c r="BN546" s="113"/>
      <c r="BO546" s="113"/>
      <c r="BP546" s="113"/>
      <c r="BQ546" s="113"/>
      <c r="BR546" s="113"/>
      <c r="BS546" s="113"/>
      <c r="BT546" s="113"/>
      <c r="BU546" s="113"/>
      <c r="BV546" s="113"/>
      <c r="BW546" s="113"/>
      <c r="BX546" s="113"/>
      <c r="BY546" s="113"/>
      <c r="BZ546" s="113"/>
      <c r="CA546" s="113"/>
      <c r="CB546" s="113"/>
      <c r="CC546" s="113"/>
      <c r="CD546" s="113"/>
      <c r="CE546" s="113"/>
      <c r="CF546" s="113"/>
      <c r="CG546" s="113"/>
      <c r="CH546" s="113"/>
      <c r="CI546" s="113"/>
      <c r="CJ546" s="113"/>
      <c r="CK546" s="113"/>
    </row>
    <row r="547" spans="1:89" s="112" customFormat="1">
      <c r="A547" s="162"/>
      <c r="B547" s="129">
        <v>538</v>
      </c>
      <c r="C547" s="106" t="s">
        <v>122</v>
      </c>
      <c r="D547" s="124" t="s">
        <v>114</v>
      </c>
      <c r="E547" s="210">
        <v>90</v>
      </c>
      <c r="F547" s="205">
        <v>6</v>
      </c>
      <c r="G547" s="205"/>
      <c r="H547" s="205">
        <v>1.85</v>
      </c>
      <c r="I547" s="205">
        <f t="shared" si="127"/>
        <v>5.5500000000000001E-2</v>
      </c>
      <c r="J547" s="147">
        <f t="shared" si="128"/>
        <v>0</v>
      </c>
      <c r="K547" s="147">
        <f t="shared" si="129"/>
        <v>11.100000000000001</v>
      </c>
      <c r="L547" s="147">
        <f t="shared" si="130"/>
        <v>0.33300000000000002</v>
      </c>
      <c r="M547" s="147">
        <f t="shared" si="131"/>
        <v>11.433000000000002</v>
      </c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113"/>
      <c r="AS547" s="113"/>
      <c r="AT547" s="113"/>
      <c r="AU547" s="113"/>
      <c r="AV547" s="113"/>
      <c r="AW547" s="113"/>
      <c r="AX547" s="113"/>
      <c r="AY547" s="113"/>
      <c r="AZ547" s="113"/>
      <c r="BA547" s="113"/>
      <c r="BB547" s="113"/>
      <c r="BC547" s="113"/>
      <c r="BD547" s="113"/>
      <c r="BE547" s="113"/>
      <c r="BF547" s="113"/>
      <c r="BG547" s="113"/>
      <c r="BH547" s="113"/>
      <c r="BI547" s="113"/>
      <c r="BJ547" s="113"/>
      <c r="BK547" s="113"/>
      <c r="BL547" s="113"/>
      <c r="BM547" s="113"/>
      <c r="BN547" s="113"/>
      <c r="BO547" s="113"/>
      <c r="BP547" s="113"/>
      <c r="BQ547" s="113"/>
      <c r="BR547" s="113"/>
      <c r="BS547" s="113"/>
      <c r="BT547" s="113"/>
      <c r="BU547" s="113"/>
      <c r="BV547" s="113"/>
      <c r="BW547" s="113"/>
      <c r="BX547" s="113"/>
      <c r="BY547" s="113"/>
      <c r="BZ547" s="113"/>
      <c r="CA547" s="113"/>
      <c r="CB547" s="113"/>
      <c r="CC547" s="113"/>
      <c r="CD547" s="113"/>
      <c r="CE547" s="113"/>
      <c r="CF547" s="113"/>
      <c r="CG547" s="113"/>
      <c r="CH547" s="113"/>
      <c r="CI547" s="113"/>
      <c r="CJ547" s="113"/>
      <c r="CK547" s="113"/>
    </row>
    <row r="548" spans="1:89" s="112" customFormat="1">
      <c r="A548" s="162"/>
      <c r="B548" s="129">
        <v>539</v>
      </c>
      <c r="C548" s="106" t="s">
        <v>39</v>
      </c>
      <c r="D548" s="124" t="s">
        <v>83</v>
      </c>
      <c r="E548" s="210">
        <v>252</v>
      </c>
      <c r="F548" s="205">
        <v>32</v>
      </c>
      <c r="G548" s="205"/>
      <c r="H548" s="205">
        <v>0.44</v>
      </c>
      <c r="I548" s="205">
        <f t="shared" si="127"/>
        <v>1.32E-2</v>
      </c>
      <c r="J548" s="147">
        <f t="shared" si="128"/>
        <v>0</v>
      </c>
      <c r="K548" s="147">
        <f t="shared" si="129"/>
        <v>14.08</v>
      </c>
      <c r="L548" s="147">
        <f t="shared" si="130"/>
        <v>0.4224</v>
      </c>
      <c r="M548" s="147">
        <f t="shared" si="131"/>
        <v>14.5024</v>
      </c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  <c r="AA548" s="113"/>
      <c r="AB548" s="113"/>
      <c r="AC548" s="113"/>
      <c r="AD548" s="113"/>
      <c r="AE548" s="113"/>
      <c r="AF548" s="113"/>
      <c r="AG548" s="113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113"/>
      <c r="AS548" s="113"/>
      <c r="AT548" s="113"/>
      <c r="AU548" s="113"/>
      <c r="AV548" s="113"/>
      <c r="AW548" s="113"/>
      <c r="AX548" s="113"/>
      <c r="AY548" s="113"/>
      <c r="AZ548" s="113"/>
      <c r="BA548" s="113"/>
      <c r="BB548" s="113"/>
      <c r="BC548" s="113"/>
      <c r="BD548" s="113"/>
      <c r="BE548" s="113"/>
      <c r="BF548" s="113"/>
      <c r="BG548" s="113"/>
      <c r="BH548" s="113"/>
      <c r="BI548" s="113"/>
      <c r="BJ548" s="113"/>
      <c r="BK548" s="113"/>
      <c r="BL548" s="113"/>
      <c r="BM548" s="113"/>
      <c r="BN548" s="113"/>
      <c r="BO548" s="113"/>
      <c r="BP548" s="113"/>
      <c r="BQ548" s="113"/>
      <c r="BR548" s="113"/>
      <c r="BS548" s="113"/>
      <c r="BT548" s="113"/>
      <c r="BU548" s="113"/>
      <c r="BV548" s="113"/>
      <c r="BW548" s="113"/>
      <c r="BX548" s="113"/>
      <c r="BY548" s="113"/>
      <c r="BZ548" s="113"/>
      <c r="CA548" s="113"/>
      <c r="CB548" s="113"/>
      <c r="CC548" s="113"/>
      <c r="CD548" s="113"/>
      <c r="CE548" s="113"/>
      <c r="CF548" s="113"/>
      <c r="CG548" s="113"/>
      <c r="CH548" s="113"/>
      <c r="CI548" s="113"/>
      <c r="CJ548" s="113"/>
      <c r="CK548" s="113"/>
    </row>
    <row r="549" spans="1:89" s="112" customFormat="1">
      <c r="A549" s="162"/>
      <c r="B549" s="129">
        <v>540</v>
      </c>
      <c r="C549" s="106" t="s">
        <v>119</v>
      </c>
      <c r="D549" s="124" t="s">
        <v>47</v>
      </c>
      <c r="E549" s="210">
        <v>20</v>
      </c>
      <c r="F549" s="205">
        <f>F545*0.07*0.25</f>
        <v>0.38447500000000001</v>
      </c>
      <c r="G549" s="205"/>
      <c r="H549" s="205">
        <v>4.87</v>
      </c>
      <c r="I549" s="205">
        <f t="shared" si="127"/>
        <v>0.14610000000000001</v>
      </c>
      <c r="J549" s="147">
        <f t="shared" si="128"/>
        <v>0</v>
      </c>
      <c r="K549" s="147">
        <f t="shared" si="129"/>
        <v>1.87239325</v>
      </c>
      <c r="L549" s="147">
        <f t="shared" si="130"/>
        <v>5.6171797500000002E-2</v>
      </c>
      <c r="M549" s="147">
        <f t="shared" si="131"/>
        <v>1.9285650475</v>
      </c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  <c r="AG549" s="113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113"/>
      <c r="AS549" s="113"/>
      <c r="AT549" s="113"/>
      <c r="AU549" s="113"/>
      <c r="AV549" s="113"/>
      <c r="AW549" s="113"/>
      <c r="AX549" s="113"/>
      <c r="AY549" s="113"/>
      <c r="AZ549" s="113"/>
      <c r="BA549" s="113"/>
      <c r="BB549" s="113"/>
      <c r="BC549" s="113"/>
      <c r="BD549" s="113"/>
      <c r="BE549" s="113"/>
      <c r="BF549" s="113"/>
      <c r="BG549" s="113"/>
      <c r="BH549" s="113"/>
      <c r="BI549" s="113"/>
      <c r="BJ549" s="113"/>
      <c r="BK549" s="113"/>
      <c r="BL549" s="113"/>
      <c r="BM549" s="113"/>
      <c r="BN549" s="113"/>
      <c r="BO549" s="113"/>
      <c r="BP549" s="113"/>
      <c r="BQ549" s="113"/>
      <c r="BR549" s="113"/>
      <c r="BS549" s="113"/>
      <c r="BT549" s="113"/>
      <c r="BU549" s="113"/>
      <c r="BV549" s="113"/>
      <c r="BW549" s="113"/>
      <c r="BX549" s="113"/>
      <c r="BY549" s="113"/>
      <c r="BZ549" s="113"/>
      <c r="CA549" s="113"/>
      <c r="CB549" s="113"/>
      <c r="CC549" s="113"/>
      <c r="CD549" s="113"/>
      <c r="CE549" s="113"/>
      <c r="CF549" s="113"/>
      <c r="CG549" s="113"/>
      <c r="CH549" s="113"/>
      <c r="CI549" s="113"/>
      <c r="CJ549" s="113"/>
      <c r="CK549" s="113"/>
    </row>
    <row r="550" spans="1:89" s="140" customFormat="1">
      <c r="A550" s="161"/>
      <c r="B550" s="129">
        <v>541</v>
      </c>
      <c r="C550" s="182" t="s">
        <v>478</v>
      </c>
      <c r="D550" s="137"/>
      <c r="E550" s="209"/>
      <c r="F550" s="206"/>
      <c r="G550" s="206"/>
      <c r="H550" s="206"/>
      <c r="I550" s="206"/>
      <c r="J550" s="147">
        <f t="shared" ref="J550:J566" si="132">F550*G550</f>
        <v>0</v>
      </c>
      <c r="K550" s="147">
        <f t="shared" ref="K550:K566" si="133">F550*H550</f>
        <v>0</v>
      </c>
      <c r="L550" s="147">
        <f t="shared" ref="L550:L566" si="134">F550*I550</f>
        <v>0</v>
      </c>
      <c r="M550" s="147">
        <f t="shared" ref="M550:M566" si="135">J550+K550+L550</f>
        <v>0</v>
      </c>
      <c r="O550" s="139"/>
      <c r="P550" s="139"/>
      <c r="Q550" s="139"/>
      <c r="R550" s="139"/>
      <c r="S550" s="139"/>
      <c r="T550" s="139"/>
      <c r="U550" s="139"/>
      <c r="V550" s="139"/>
      <c r="W550" s="139"/>
      <c r="X550" s="139"/>
      <c r="Y550" s="139"/>
      <c r="Z550" s="139"/>
      <c r="AA550" s="139"/>
      <c r="AB550" s="139"/>
      <c r="AC550" s="139"/>
      <c r="AD550" s="139"/>
      <c r="AE550" s="139"/>
      <c r="AF550" s="139"/>
      <c r="AG550" s="139"/>
      <c r="AH550" s="139"/>
      <c r="AI550" s="139"/>
      <c r="AJ550" s="139"/>
      <c r="AK550" s="139"/>
      <c r="AL550" s="139"/>
      <c r="AM550" s="139"/>
      <c r="AN550" s="139"/>
      <c r="AO550" s="139"/>
      <c r="AP550" s="139"/>
      <c r="AQ550" s="139"/>
      <c r="AR550" s="139"/>
      <c r="AS550" s="139"/>
      <c r="AT550" s="139"/>
      <c r="AU550" s="139"/>
      <c r="AV550" s="139"/>
      <c r="AW550" s="139"/>
      <c r="AX550" s="139"/>
      <c r="AY550" s="139"/>
      <c r="AZ550" s="139"/>
      <c r="BA550" s="139"/>
      <c r="BB550" s="139"/>
      <c r="BC550" s="139"/>
      <c r="BD550" s="139"/>
      <c r="BE550" s="139"/>
      <c r="BF550" s="139"/>
      <c r="BG550" s="139"/>
      <c r="BH550" s="139"/>
      <c r="BI550" s="139"/>
      <c r="BJ550" s="139"/>
      <c r="BK550" s="139"/>
      <c r="BL550" s="139"/>
      <c r="BM550" s="139"/>
      <c r="BN550" s="139"/>
      <c r="BO550" s="139"/>
      <c r="BP550" s="139"/>
      <c r="BQ550" s="139"/>
      <c r="BR550" s="139"/>
      <c r="BS550" s="139"/>
      <c r="BT550" s="139"/>
      <c r="BU550" s="139"/>
      <c r="BV550" s="139"/>
      <c r="BW550" s="139"/>
      <c r="BX550" s="139"/>
      <c r="BY550" s="139"/>
      <c r="BZ550" s="139"/>
      <c r="CA550" s="139"/>
      <c r="CB550" s="139"/>
      <c r="CC550" s="139"/>
      <c r="CD550" s="139"/>
      <c r="CE550" s="139"/>
      <c r="CF550" s="139"/>
      <c r="CG550" s="139"/>
      <c r="CH550" s="139"/>
      <c r="CI550" s="139"/>
      <c r="CJ550" s="139"/>
      <c r="CK550" s="139"/>
    </row>
    <row r="551" spans="1:89">
      <c r="A551" s="160"/>
      <c r="B551" s="129">
        <v>542</v>
      </c>
      <c r="C551" s="143" t="s">
        <v>476</v>
      </c>
      <c r="D551" s="123" t="s">
        <v>6</v>
      </c>
      <c r="E551" s="204">
        <v>570</v>
      </c>
      <c r="F551" s="147">
        <f>(4.37*2+2.525)*2.5</f>
        <v>28.162500000000001</v>
      </c>
      <c r="G551" s="147">
        <v>1</v>
      </c>
      <c r="H551" s="147"/>
      <c r="I551" s="205">
        <f t="shared" si="127"/>
        <v>0.1</v>
      </c>
      <c r="J551" s="147">
        <f t="shared" si="132"/>
        <v>28.162500000000001</v>
      </c>
      <c r="K551" s="147">
        <f t="shared" si="133"/>
        <v>0</v>
      </c>
      <c r="L551" s="147">
        <f t="shared" si="134"/>
        <v>2.8162500000000001</v>
      </c>
      <c r="M551" s="147">
        <f t="shared" si="135"/>
        <v>30.978750000000002</v>
      </c>
      <c r="CD551" s="104"/>
      <c r="CE551" s="104"/>
      <c r="CF551" s="104"/>
      <c r="CG551" s="104"/>
      <c r="CH551" s="104"/>
      <c r="CI551" s="104"/>
      <c r="CJ551" s="104"/>
      <c r="CK551" s="104"/>
    </row>
    <row r="552" spans="1:89">
      <c r="A552" s="160"/>
      <c r="B552" s="129">
        <v>543</v>
      </c>
      <c r="C552" s="157" t="s">
        <v>399</v>
      </c>
      <c r="D552" s="123" t="s">
        <v>6</v>
      </c>
      <c r="E552" s="204">
        <v>249</v>
      </c>
      <c r="F552" s="147">
        <v>11</v>
      </c>
      <c r="G552" s="147">
        <v>1.25</v>
      </c>
      <c r="H552" s="147"/>
      <c r="I552" s="205">
        <f t="shared" si="127"/>
        <v>0.125</v>
      </c>
      <c r="J552" s="147">
        <f t="shared" si="132"/>
        <v>13.75</v>
      </c>
      <c r="K552" s="147">
        <f t="shared" si="133"/>
        <v>0</v>
      </c>
      <c r="L552" s="147">
        <f t="shared" si="134"/>
        <v>1.375</v>
      </c>
      <c r="M552" s="147">
        <f t="shared" si="135"/>
        <v>15.125</v>
      </c>
      <c r="CD552" s="104"/>
      <c r="CE552" s="104"/>
      <c r="CF552" s="104"/>
      <c r="CG552" s="104"/>
      <c r="CH552" s="104"/>
      <c r="CI552" s="104"/>
      <c r="CJ552" s="104"/>
      <c r="CK552" s="104"/>
    </row>
    <row r="553" spans="1:89">
      <c r="A553" s="104"/>
      <c r="B553" s="129">
        <v>544</v>
      </c>
      <c r="C553" s="131" t="s">
        <v>400</v>
      </c>
      <c r="D553" s="123" t="s">
        <v>6</v>
      </c>
      <c r="E553" s="204"/>
      <c r="F553" s="147">
        <v>11</v>
      </c>
      <c r="G553" s="147">
        <v>0.8</v>
      </c>
      <c r="H553" s="147"/>
      <c r="I553" s="205">
        <f t="shared" si="127"/>
        <v>8.0000000000000016E-2</v>
      </c>
      <c r="J553" s="147">
        <f t="shared" si="132"/>
        <v>8.8000000000000007</v>
      </c>
      <c r="K553" s="147">
        <f t="shared" si="133"/>
        <v>0</v>
      </c>
      <c r="L553" s="147">
        <f t="shared" si="134"/>
        <v>0.88000000000000012</v>
      </c>
      <c r="M553" s="147">
        <f t="shared" si="135"/>
        <v>9.6800000000000015</v>
      </c>
      <c r="CD553" s="104"/>
      <c r="CE553" s="104"/>
      <c r="CF553" s="104"/>
      <c r="CG553" s="104"/>
      <c r="CH553" s="104"/>
      <c r="CI553" s="104"/>
      <c r="CJ553" s="104"/>
      <c r="CK553" s="104"/>
    </row>
    <row r="554" spans="1:89" s="112" customFormat="1">
      <c r="B554" s="129">
        <v>545</v>
      </c>
      <c r="C554" s="106" t="s">
        <v>391</v>
      </c>
      <c r="D554" s="124" t="s">
        <v>502</v>
      </c>
      <c r="E554" s="117"/>
      <c r="F554" s="205">
        <v>1</v>
      </c>
      <c r="G554" s="205"/>
      <c r="H554" s="205">
        <v>5.17</v>
      </c>
      <c r="I554" s="205">
        <f t="shared" si="127"/>
        <v>0.15509999999999999</v>
      </c>
      <c r="J554" s="147">
        <f t="shared" si="132"/>
        <v>0</v>
      </c>
      <c r="K554" s="147">
        <f t="shared" si="133"/>
        <v>5.17</v>
      </c>
      <c r="L554" s="147">
        <f t="shared" si="134"/>
        <v>0.15509999999999999</v>
      </c>
      <c r="M554" s="147">
        <f t="shared" si="135"/>
        <v>5.3250999999999999</v>
      </c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113"/>
      <c r="AS554" s="113"/>
      <c r="AT554" s="113"/>
      <c r="AU554" s="113"/>
      <c r="AV554" s="113"/>
      <c r="AW554" s="113"/>
      <c r="AX554" s="113"/>
      <c r="AY554" s="113"/>
      <c r="AZ554" s="113"/>
      <c r="BA554" s="113"/>
      <c r="BB554" s="113"/>
      <c r="BC554" s="113"/>
      <c r="BD554" s="113"/>
      <c r="BE554" s="113"/>
      <c r="BF554" s="113"/>
      <c r="BG554" s="113"/>
      <c r="BH554" s="113"/>
      <c r="BI554" s="113"/>
      <c r="BJ554" s="113"/>
      <c r="BK554" s="113"/>
      <c r="BL554" s="113"/>
      <c r="BM554" s="113"/>
      <c r="BN554" s="113"/>
      <c r="BO554" s="113"/>
      <c r="BP554" s="113"/>
      <c r="BQ554" s="113"/>
      <c r="BR554" s="113"/>
      <c r="BS554" s="113"/>
      <c r="BT554" s="113"/>
      <c r="BU554" s="113"/>
      <c r="BV554" s="113"/>
      <c r="BW554" s="113"/>
      <c r="BX554" s="113"/>
      <c r="BY554" s="113"/>
      <c r="BZ554" s="113"/>
      <c r="CA554" s="113"/>
      <c r="CB554" s="113"/>
      <c r="CC554" s="113"/>
      <c r="CD554" s="113"/>
      <c r="CE554" s="113"/>
      <c r="CF554" s="113"/>
      <c r="CG554" s="113"/>
      <c r="CH554" s="113"/>
      <c r="CI554" s="113"/>
      <c r="CJ554" s="113"/>
      <c r="CK554" s="113"/>
    </row>
    <row r="555" spans="1:89" s="112" customFormat="1">
      <c r="A555" s="162"/>
      <c r="B555" s="129">
        <v>546</v>
      </c>
      <c r="C555" s="106" t="s">
        <v>108</v>
      </c>
      <c r="D555" s="124" t="s">
        <v>47</v>
      </c>
      <c r="E555" s="210">
        <v>200</v>
      </c>
      <c r="F555" s="205">
        <f>1.5*F551</f>
        <v>42.243750000000006</v>
      </c>
      <c r="G555" s="205"/>
      <c r="H555" s="205">
        <v>0.6</v>
      </c>
      <c r="I555" s="205">
        <f t="shared" si="127"/>
        <v>1.7999999999999999E-2</v>
      </c>
      <c r="J555" s="147">
        <f t="shared" si="132"/>
        <v>0</v>
      </c>
      <c r="K555" s="147">
        <f t="shared" si="133"/>
        <v>25.346250000000001</v>
      </c>
      <c r="L555" s="147">
        <f t="shared" si="134"/>
        <v>0.76038749999999999</v>
      </c>
      <c r="M555" s="147">
        <f t="shared" si="135"/>
        <v>26.106637500000001</v>
      </c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  <c r="AG555" s="113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113"/>
      <c r="AS555" s="113"/>
      <c r="AT555" s="113"/>
      <c r="AU555" s="113"/>
      <c r="AV555" s="113"/>
      <c r="AW555" s="113"/>
      <c r="AX555" s="113"/>
      <c r="AY555" s="113"/>
      <c r="AZ555" s="113"/>
      <c r="BA555" s="113"/>
      <c r="BB555" s="113"/>
      <c r="BC555" s="113"/>
      <c r="BD555" s="113"/>
      <c r="BE555" s="113"/>
      <c r="BF555" s="113"/>
      <c r="BG555" s="113"/>
      <c r="BH555" s="113"/>
      <c r="BI555" s="113"/>
      <c r="BJ555" s="113"/>
      <c r="BK555" s="113"/>
      <c r="BL555" s="113"/>
      <c r="BM555" s="113"/>
      <c r="BN555" s="113"/>
      <c r="BO555" s="113"/>
      <c r="BP555" s="113"/>
      <c r="BQ555" s="113"/>
      <c r="BR555" s="113"/>
      <c r="BS555" s="113"/>
      <c r="BT555" s="113"/>
      <c r="BU555" s="113"/>
      <c r="BV555" s="113"/>
      <c r="BW555" s="113"/>
      <c r="BX555" s="113"/>
      <c r="BY555" s="113"/>
      <c r="BZ555" s="113"/>
      <c r="CA555" s="113"/>
      <c r="CB555" s="113"/>
      <c r="CC555" s="113"/>
      <c r="CD555" s="113"/>
      <c r="CE555" s="113"/>
      <c r="CF555" s="113"/>
      <c r="CG555" s="113"/>
      <c r="CH555" s="113"/>
      <c r="CI555" s="113"/>
      <c r="CJ555" s="113"/>
      <c r="CK555" s="113"/>
    </row>
    <row r="556" spans="1:89" s="112" customFormat="1">
      <c r="A556" s="162"/>
      <c r="B556" s="129">
        <v>547</v>
      </c>
      <c r="C556" s="106" t="s">
        <v>110</v>
      </c>
      <c r="D556" s="124" t="s">
        <v>47</v>
      </c>
      <c r="E556" s="210">
        <v>382</v>
      </c>
      <c r="F556" s="205">
        <f>0.375*F553</f>
        <v>4.125</v>
      </c>
      <c r="G556" s="205"/>
      <c r="H556" s="205">
        <v>1.59</v>
      </c>
      <c r="I556" s="205">
        <f t="shared" si="127"/>
        <v>4.7699999999999999E-2</v>
      </c>
      <c r="J556" s="147">
        <f t="shared" si="132"/>
        <v>0</v>
      </c>
      <c r="K556" s="147">
        <f t="shared" si="133"/>
        <v>6.5587500000000007</v>
      </c>
      <c r="L556" s="147">
        <f t="shared" si="134"/>
        <v>0.19676250000000001</v>
      </c>
      <c r="M556" s="147">
        <f t="shared" si="135"/>
        <v>6.7555125000000009</v>
      </c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113"/>
      <c r="AS556" s="113"/>
      <c r="AT556" s="113"/>
      <c r="AU556" s="113"/>
      <c r="AV556" s="113"/>
      <c r="AW556" s="113"/>
      <c r="AX556" s="113"/>
      <c r="AY556" s="113"/>
      <c r="AZ556" s="113"/>
      <c r="BA556" s="113"/>
      <c r="BB556" s="113"/>
      <c r="BC556" s="113"/>
      <c r="BD556" s="113"/>
      <c r="BE556" s="113"/>
      <c r="BF556" s="113"/>
      <c r="BG556" s="113"/>
      <c r="BH556" s="113"/>
      <c r="BI556" s="113"/>
      <c r="BJ556" s="113"/>
      <c r="BK556" s="113"/>
      <c r="BL556" s="113"/>
      <c r="BM556" s="113"/>
      <c r="BN556" s="113"/>
      <c r="BO556" s="113"/>
      <c r="BP556" s="113"/>
      <c r="BQ556" s="113"/>
      <c r="BR556" s="113"/>
      <c r="BS556" s="113"/>
      <c r="BT556" s="113"/>
      <c r="BU556" s="113"/>
      <c r="BV556" s="113"/>
      <c r="BW556" s="113"/>
      <c r="BX556" s="113"/>
      <c r="BY556" s="113"/>
      <c r="BZ556" s="113"/>
      <c r="CA556" s="113"/>
      <c r="CB556" s="113"/>
      <c r="CC556" s="113"/>
      <c r="CD556" s="113"/>
      <c r="CE556" s="113"/>
      <c r="CF556" s="113"/>
      <c r="CG556" s="113"/>
      <c r="CH556" s="113"/>
      <c r="CI556" s="113"/>
      <c r="CJ556" s="113"/>
      <c r="CK556" s="113"/>
    </row>
    <row r="557" spans="1:89">
      <c r="A557" s="160"/>
      <c r="B557" s="129">
        <v>548</v>
      </c>
      <c r="C557" s="109" t="s">
        <v>511</v>
      </c>
      <c r="D557" s="123" t="s">
        <v>6</v>
      </c>
      <c r="E557" s="204">
        <v>155.5</v>
      </c>
      <c r="F557" s="147">
        <v>11</v>
      </c>
      <c r="G557" s="147">
        <v>2.5</v>
      </c>
      <c r="H557" s="147"/>
      <c r="I557" s="205">
        <f t="shared" si="127"/>
        <v>0.25</v>
      </c>
      <c r="J557" s="147">
        <f t="shared" si="132"/>
        <v>27.5</v>
      </c>
      <c r="K557" s="147">
        <f t="shared" si="133"/>
        <v>0</v>
      </c>
      <c r="L557" s="147">
        <f t="shared" si="134"/>
        <v>2.75</v>
      </c>
      <c r="M557" s="147">
        <f t="shared" si="135"/>
        <v>30.25</v>
      </c>
      <c r="CD557" s="104"/>
      <c r="CE557" s="104"/>
      <c r="CF557" s="104"/>
      <c r="CG557" s="104"/>
      <c r="CH557" s="104"/>
      <c r="CI557" s="104"/>
      <c r="CJ557" s="104"/>
      <c r="CK557" s="104"/>
    </row>
    <row r="558" spans="1:89" ht="12.75" customHeight="1">
      <c r="B558" s="129">
        <v>549</v>
      </c>
      <c r="C558" s="106" t="s">
        <v>395</v>
      </c>
      <c r="D558" s="123" t="s">
        <v>6</v>
      </c>
      <c r="E558" s="129"/>
      <c r="F558" s="147">
        <f>1.1*F557</f>
        <v>12.100000000000001</v>
      </c>
      <c r="G558" s="147"/>
      <c r="H558" s="147">
        <v>0.25</v>
      </c>
      <c r="I558" s="205">
        <f t="shared" si="127"/>
        <v>7.4999999999999997E-3</v>
      </c>
      <c r="J558" s="147">
        <f t="shared" si="132"/>
        <v>0</v>
      </c>
      <c r="K558" s="147">
        <f t="shared" si="133"/>
        <v>3.0250000000000004</v>
      </c>
      <c r="L558" s="147">
        <f t="shared" si="134"/>
        <v>9.0750000000000011E-2</v>
      </c>
      <c r="M558" s="147">
        <f t="shared" si="135"/>
        <v>3.1157500000000002</v>
      </c>
      <c r="CD558" s="104"/>
      <c r="CE558" s="104"/>
      <c r="CF558" s="104"/>
      <c r="CG558" s="104"/>
      <c r="CH558" s="104"/>
      <c r="CI558" s="104"/>
      <c r="CJ558" s="104"/>
      <c r="CK558" s="104"/>
    </row>
    <row r="559" spans="1:89">
      <c r="B559" s="129">
        <v>550</v>
      </c>
      <c r="C559" s="106" t="s">
        <v>434</v>
      </c>
      <c r="D559" s="123" t="s">
        <v>6</v>
      </c>
      <c r="E559" s="129"/>
      <c r="F559" s="147">
        <f>F557*1.05</f>
        <v>11.55</v>
      </c>
      <c r="G559" s="147"/>
      <c r="H559" s="147">
        <v>4.8</v>
      </c>
      <c r="I559" s="205">
        <f t="shared" si="127"/>
        <v>0.14399999999999999</v>
      </c>
      <c r="J559" s="147">
        <f t="shared" si="132"/>
        <v>0</v>
      </c>
      <c r="K559" s="147">
        <f t="shared" si="133"/>
        <v>55.440000000000005</v>
      </c>
      <c r="L559" s="147">
        <f t="shared" si="134"/>
        <v>1.6632</v>
      </c>
      <c r="M559" s="147">
        <f t="shared" si="135"/>
        <v>57.103200000000008</v>
      </c>
      <c r="CD559" s="104"/>
      <c r="CE559" s="104"/>
      <c r="CF559" s="104"/>
      <c r="CG559" s="104"/>
      <c r="CH559" s="104"/>
      <c r="CI559" s="104"/>
      <c r="CJ559" s="104"/>
      <c r="CK559" s="104"/>
    </row>
    <row r="560" spans="1:89">
      <c r="A560" s="160"/>
      <c r="B560" s="129">
        <v>551</v>
      </c>
      <c r="C560" s="131" t="s">
        <v>111</v>
      </c>
      <c r="D560" s="123" t="s">
        <v>6</v>
      </c>
      <c r="E560" s="204">
        <v>400</v>
      </c>
      <c r="F560" s="147">
        <v>28.16</v>
      </c>
      <c r="G560" s="147">
        <v>0.85</v>
      </c>
      <c r="H560" s="147"/>
      <c r="I560" s="205">
        <f t="shared" si="127"/>
        <v>8.5000000000000006E-2</v>
      </c>
      <c r="J560" s="147">
        <f t="shared" si="132"/>
        <v>23.936</v>
      </c>
      <c r="K560" s="147">
        <f t="shared" si="133"/>
        <v>0</v>
      </c>
      <c r="L560" s="147">
        <f t="shared" si="134"/>
        <v>2.3936000000000002</v>
      </c>
      <c r="M560" s="147">
        <f t="shared" si="135"/>
        <v>26.329599999999999</v>
      </c>
      <c r="CD560" s="104"/>
      <c r="CE560" s="104"/>
      <c r="CF560" s="104"/>
      <c r="CG560" s="104"/>
      <c r="CH560" s="104"/>
      <c r="CI560" s="104"/>
      <c r="CJ560" s="104"/>
      <c r="CK560" s="104"/>
    </row>
    <row r="561" spans="1:89" s="112" customFormat="1">
      <c r="A561" s="162"/>
      <c r="B561" s="129">
        <v>552</v>
      </c>
      <c r="C561" s="106" t="s">
        <v>225</v>
      </c>
      <c r="D561" s="124" t="s">
        <v>6</v>
      </c>
      <c r="E561" s="210">
        <v>400</v>
      </c>
      <c r="F561" s="205">
        <f>F560*1.1</f>
        <v>30.976000000000003</v>
      </c>
      <c r="G561" s="205"/>
      <c r="H561" s="205">
        <v>0.37</v>
      </c>
      <c r="I561" s="205">
        <f t="shared" si="127"/>
        <v>1.1099999999999999E-2</v>
      </c>
      <c r="J561" s="147">
        <f t="shared" si="132"/>
        <v>0</v>
      </c>
      <c r="K561" s="147">
        <f t="shared" si="133"/>
        <v>11.461120000000001</v>
      </c>
      <c r="L561" s="147">
        <f t="shared" si="134"/>
        <v>0.34383360000000002</v>
      </c>
      <c r="M561" s="147">
        <f t="shared" si="135"/>
        <v>11.804953600000001</v>
      </c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113"/>
      <c r="AS561" s="113"/>
      <c r="AT561" s="113"/>
      <c r="AU561" s="113"/>
      <c r="AV561" s="113"/>
      <c r="AW561" s="113"/>
      <c r="AX561" s="113"/>
      <c r="AY561" s="113"/>
      <c r="AZ561" s="113"/>
      <c r="BA561" s="113"/>
      <c r="BB561" s="113"/>
      <c r="BC561" s="113"/>
      <c r="BD561" s="113"/>
      <c r="BE561" s="113"/>
      <c r="BF561" s="113"/>
      <c r="BG561" s="113"/>
      <c r="BH561" s="113"/>
      <c r="BI561" s="113"/>
      <c r="BJ561" s="113"/>
      <c r="BK561" s="113"/>
      <c r="BL561" s="113"/>
      <c r="BM561" s="113"/>
      <c r="BN561" s="113"/>
      <c r="BO561" s="113"/>
      <c r="BP561" s="113"/>
      <c r="BQ561" s="113"/>
      <c r="BR561" s="113"/>
      <c r="BS561" s="113"/>
      <c r="BT561" s="113"/>
      <c r="BU561" s="113"/>
      <c r="BV561" s="113"/>
      <c r="BW561" s="113"/>
      <c r="BX561" s="113"/>
      <c r="BY561" s="113"/>
      <c r="BZ561" s="113"/>
      <c r="CA561" s="113"/>
      <c r="CB561" s="113"/>
      <c r="CC561" s="113"/>
      <c r="CD561" s="113"/>
      <c r="CE561" s="113"/>
      <c r="CF561" s="113"/>
      <c r="CG561" s="113"/>
      <c r="CH561" s="113"/>
      <c r="CI561" s="113"/>
      <c r="CJ561" s="113"/>
      <c r="CK561" s="113"/>
    </row>
    <row r="562" spans="1:89">
      <c r="A562" s="160"/>
      <c r="B562" s="129">
        <v>553</v>
      </c>
      <c r="C562" s="131" t="s">
        <v>120</v>
      </c>
      <c r="D562" s="123" t="s">
        <v>114</v>
      </c>
      <c r="E562" s="204">
        <v>252</v>
      </c>
      <c r="F562" s="147">
        <v>21.74</v>
      </c>
      <c r="G562" s="147">
        <v>1.1000000000000001</v>
      </c>
      <c r="H562" s="147"/>
      <c r="I562" s="205">
        <f t="shared" si="127"/>
        <v>0.11000000000000001</v>
      </c>
      <c r="J562" s="147">
        <f t="shared" si="132"/>
        <v>23.914000000000001</v>
      </c>
      <c r="K562" s="147">
        <f t="shared" si="133"/>
        <v>0</v>
      </c>
      <c r="L562" s="147">
        <f t="shared" si="134"/>
        <v>2.3914</v>
      </c>
      <c r="M562" s="147">
        <f t="shared" si="135"/>
        <v>26.305400000000002</v>
      </c>
      <c r="CD562" s="104"/>
      <c r="CE562" s="104"/>
      <c r="CF562" s="104"/>
      <c r="CG562" s="104"/>
      <c r="CH562" s="104"/>
      <c r="CI562" s="104"/>
      <c r="CJ562" s="104"/>
      <c r="CK562" s="104"/>
    </row>
    <row r="563" spans="1:89" s="112" customFormat="1">
      <c r="A563" s="162"/>
      <c r="B563" s="129">
        <v>554</v>
      </c>
      <c r="C563" s="106" t="s">
        <v>121</v>
      </c>
      <c r="D563" s="124" t="s">
        <v>114</v>
      </c>
      <c r="E563" s="210">
        <v>162</v>
      </c>
      <c r="F563" s="205">
        <f>4.37+4.37+1</f>
        <v>9.74</v>
      </c>
      <c r="G563" s="205"/>
      <c r="H563" s="205">
        <v>1.85</v>
      </c>
      <c r="I563" s="205">
        <f t="shared" si="127"/>
        <v>5.5500000000000001E-2</v>
      </c>
      <c r="J563" s="147">
        <f t="shared" si="132"/>
        <v>0</v>
      </c>
      <c r="K563" s="147">
        <f t="shared" si="133"/>
        <v>18.019000000000002</v>
      </c>
      <c r="L563" s="147">
        <f t="shared" si="134"/>
        <v>0.54056999999999999</v>
      </c>
      <c r="M563" s="147">
        <f t="shared" si="135"/>
        <v>18.559570000000001</v>
      </c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113"/>
      <c r="AS563" s="113"/>
      <c r="AT563" s="113"/>
      <c r="AU563" s="113"/>
      <c r="AV563" s="113"/>
      <c r="AW563" s="113"/>
      <c r="AX563" s="113"/>
      <c r="AY563" s="113"/>
      <c r="AZ563" s="113"/>
      <c r="BA563" s="113"/>
      <c r="BB563" s="113"/>
      <c r="BC563" s="113"/>
      <c r="BD563" s="113"/>
      <c r="BE563" s="113"/>
      <c r="BF563" s="113"/>
      <c r="BG563" s="113"/>
      <c r="BH563" s="113"/>
      <c r="BI563" s="113"/>
      <c r="BJ563" s="113"/>
      <c r="BK563" s="113"/>
      <c r="BL563" s="113"/>
      <c r="BM563" s="113"/>
      <c r="BN563" s="113"/>
      <c r="BO563" s="113"/>
      <c r="BP563" s="113"/>
      <c r="BQ563" s="113"/>
      <c r="BR563" s="113"/>
      <c r="BS563" s="113"/>
      <c r="BT563" s="113"/>
      <c r="BU563" s="113"/>
      <c r="BV563" s="113"/>
      <c r="BW563" s="113"/>
      <c r="BX563" s="113"/>
      <c r="BY563" s="113"/>
      <c r="BZ563" s="113"/>
      <c r="CA563" s="113"/>
      <c r="CB563" s="113"/>
      <c r="CC563" s="113"/>
      <c r="CD563" s="113"/>
      <c r="CE563" s="113"/>
      <c r="CF563" s="113"/>
      <c r="CG563" s="113"/>
      <c r="CH563" s="113"/>
      <c r="CI563" s="113"/>
      <c r="CJ563" s="113"/>
      <c r="CK563" s="113"/>
    </row>
    <row r="564" spans="1:89" s="112" customFormat="1">
      <c r="A564" s="162"/>
      <c r="B564" s="129">
        <v>555</v>
      </c>
      <c r="C564" s="106" t="s">
        <v>122</v>
      </c>
      <c r="D564" s="124" t="s">
        <v>114</v>
      </c>
      <c r="E564" s="210">
        <v>90</v>
      </c>
      <c r="F564" s="205">
        <v>12</v>
      </c>
      <c r="G564" s="205"/>
      <c r="H564" s="205">
        <v>1.85</v>
      </c>
      <c r="I564" s="205">
        <f t="shared" si="127"/>
        <v>5.5500000000000001E-2</v>
      </c>
      <c r="J564" s="147">
        <f t="shared" si="132"/>
        <v>0</v>
      </c>
      <c r="K564" s="147">
        <f t="shared" si="133"/>
        <v>22.200000000000003</v>
      </c>
      <c r="L564" s="147">
        <f t="shared" si="134"/>
        <v>0.66600000000000004</v>
      </c>
      <c r="M564" s="147">
        <f t="shared" si="135"/>
        <v>22.866000000000003</v>
      </c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113"/>
      <c r="AS564" s="113"/>
      <c r="AT564" s="113"/>
      <c r="AU564" s="113"/>
      <c r="AV564" s="113"/>
      <c r="AW564" s="113"/>
      <c r="AX564" s="113"/>
      <c r="AY564" s="113"/>
      <c r="AZ564" s="113"/>
      <c r="BA564" s="113"/>
      <c r="BB564" s="113"/>
      <c r="BC564" s="113"/>
      <c r="BD564" s="113"/>
      <c r="BE564" s="113"/>
      <c r="BF564" s="113"/>
      <c r="BG564" s="113"/>
      <c r="BH564" s="113"/>
      <c r="BI564" s="113"/>
      <c r="BJ564" s="113"/>
      <c r="BK564" s="113"/>
      <c r="BL564" s="113"/>
      <c r="BM564" s="113"/>
      <c r="BN564" s="113"/>
      <c r="BO564" s="113"/>
      <c r="BP564" s="113"/>
      <c r="BQ564" s="113"/>
      <c r="BR564" s="113"/>
      <c r="BS564" s="113"/>
      <c r="BT564" s="113"/>
      <c r="BU564" s="113"/>
      <c r="BV564" s="113"/>
      <c r="BW564" s="113"/>
      <c r="BX564" s="113"/>
      <c r="BY564" s="113"/>
      <c r="BZ564" s="113"/>
      <c r="CA564" s="113"/>
      <c r="CB564" s="113"/>
      <c r="CC564" s="113"/>
      <c r="CD564" s="113"/>
      <c r="CE564" s="113"/>
      <c r="CF564" s="113"/>
      <c r="CG564" s="113"/>
      <c r="CH564" s="113"/>
      <c r="CI564" s="113"/>
      <c r="CJ564" s="113"/>
      <c r="CK564" s="113"/>
    </row>
    <row r="565" spans="1:89" s="112" customFormat="1">
      <c r="A565" s="162"/>
      <c r="B565" s="129">
        <v>556</v>
      </c>
      <c r="C565" s="106" t="s">
        <v>39</v>
      </c>
      <c r="D565" s="124" t="s">
        <v>83</v>
      </c>
      <c r="E565" s="210">
        <v>252</v>
      </c>
      <c r="F565" s="205">
        <v>20</v>
      </c>
      <c r="G565" s="205"/>
      <c r="H565" s="205">
        <v>0.44</v>
      </c>
      <c r="I565" s="205">
        <f t="shared" si="127"/>
        <v>1.32E-2</v>
      </c>
      <c r="J565" s="147">
        <f t="shared" si="132"/>
        <v>0</v>
      </c>
      <c r="K565" s="147">
        <f t="shared" si="133"/>
        <v>8.8000000000000007</v>
      </c>
      <c r="L565" s="147">
        <f t="shared" si="134"/>
        <v>0.26400000000000001</v>
      </c>
      <c r="M565" s="147">
        <f t="shared" si="135"/>
        <v>9.0640000000000001</v>
      </c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113"/>
      <c r="AS565" s="113"/>
      <c r="AT565" s="113"/>
      <c r="AU565" s="113"/>
      <c r="AV565" s="113"/>
      <c r="AW565" s="113"/>
      <c r="AX565" s="113"/>
      <c r="AY565" s="113"/>
      <c r="AZ565" s="113"/>
      <c r="BA565" s="113"/>
      <c r="BB565" s="113"/>
      <c r="BC565" s="113"/>
      <c r="BD565" s="113"/>
      <c r="BE565" s="113"/>
      <c r="BF565" s="113"/>
      <c r="BG565" s="113"/>
      <c r="BH565" s="113"/>
      <c r="BI565" s="113"/>
      <c r="BJ565" s="113"/>
      <c r="BK565" s="113"/>
      <c r="BL565" s="113"/>
      <c r="BM565" s="113"/>
      <c r="BN565" s="113"/>
      <c r="BO565" s="113"/>
      <c r="BP565" s="113"/>
      <c r="BQ565" s="113"/>
      <c r="BR565" s="113"/>
      <c r="BS565" s="113"/>
      <c r="BT565" s="113"/>
      <c r="BU565" s="113"/>
      <c r="BV565" s="113"/>
      <c r="BW565" s="113"/>
      <c r="BX565" s="113"/>
      <c r="BY565" s="113"/>
      <c r="BZ565" s="113"/>
      <c r="CA565" s="113"/>
      <c r="CB565" s="113"/>
      <c r="CC565" s="113"/>
      <c r="CD565" s="113"/>
      <c r="CE565" s="113"/>
      <c r="CF565" s="113"/>
      <c r="CG565" s="113"/>
      <c r="CH565" s="113"/>
      <c r="CI565" s="113"/>
      <c r="CJ565" s="113"/>
      <c r="CK565" s="113"/>
    </row>
    <row r="566" spans="1:89" s="112" customFormat="1">
      <c r="A566" s="162"/>
      <c r="B566" s="129">
        <v>557</v>
      </c>
      <c r="C566" s="106" t="s">
        <v>119</v>
      </c>
      <c r="D566" s="124" t="s">
        <v>47</v>
      </c>
      <c r="E566" s="210">
        <v>20</v>
      </c>
      <c r="F566" s="205">
        <f>F562*0.07*0.25</f>
        <v>0.38045000000000001</v>
      </c>
      <c r="G566" s="205"/>
      <c r="H566" s="205">
        <v>4.87</v>
      </c>
      <c r="I566" s="205">
        <f t="shared" si="127"/>
        <v>0.14610000000000001</v>
      </c>
      <c r="J566" s="147">
        <f t="shared" si="132"/>
        <v>0</v>
      </c>
      <c r="K566" s="147">
        <f t="shared" si="133"/>
        <v>1.8527915000000001</v>
      </c>
      <c r="L566" s="147">
        <f t="shared" si="134"/>
        <v>5.5583745000000004E-2</v>
      </c>
      <c r="M566" s="147">
        <f t="shared" si="135"/>
        <v>1.9083752450000002</v>
      </c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13"/>
      <c r="AG566" s="113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113"/>
      <c r="AS566" s="113"/>
      <c r="AT566" s="113"/>
      <c r="AU566" s="113"/>
      <c r="AV566" s="113"/>
      <c r="AW566" s="113"/>
      <c r="AX566" s="113"/>
      <c r="AY566" s="113"/>
      <c r="AZ566" s="113"/>
      <c r="BA566" s="113"/>
      <c r="BB566" s="113"/>
      <c r="BC566" s="113"/>
      <c r="BD566" s="113"/>
      <c r="BE566" s="113"/>
      <c r="BF566" s="113"/>
      <c r="BG566" s="113"/>
      <c r="BH566" s="113"/>
      <c r="BI566" s="113"/>
      <c r="BJ566" s="113"/>
      <c r="BK566" s="113"/>
      <c r="BL566" s="113"/>
      <c r="BM566" s="113"/>
      <c r="BN566" s="113"/>
      <c r="BO566" s="113"/>
      <c r="BP566" s="113"/>
      <c r="BQ566" s="113"/>
      <c r="BR566" s="113"/>
      <c r="BS566" s="113"/>
      <c r="BT566" s="113"/>
      <c r="BU566" s="113"/>
      <c r="BV566" s="113"/>
      <c r="BW566" s="113"/>
      <c r="BX566" s="113"/>
      <c r="BY566" s="113"/>
      <c r="BZ566" s="113"/>
      <c r="CA566" s="113"/>
      <c r="CB566" s="113"/>
      <c r="CC566" s="113"/>
      <c r="CD566" s="113"/>
      <c r="CE566" s="113"/>
      <c r="CF566" s="113"/>
      <c r="CG566" s="113"/>
      <c r="CH566" s="113"/>
      <c r="CI566" s="113"/>
      <c r="CJ566" s="113"/>
      <c r="CK566" s="113"/>
    </row>
    <row r="567" spans="1:89" s="140" customFormat="1">
      <c r="A567" s="161"/>
      <c r="B567" s="129">
        <v>558</v>
      </c>
      <c r="C567" s="182" t="s">
        <v>479</v>
      </c>
      <c r="D567" s="137"/>
      <c r="E567" s="209"/>
      <c r="F567" s="206"/>
      <c r="G567" s="206"/>
      <c r="H567" s="206"/>
      <c r="I567" s="206"/>
      <c r="J567" s="147">
        <f t="shared" ref="J567:J583" si="136">F567*G567</f>
        <v>0</v>
      </c>
      <c r="K567" s="147">
        <f t="shared" ref="K567:K583" si="137">F567*H567</f>
        <v>0</v>
      </c>
      <c r="L567" s="147">
        <f t="shared" ref="L567:L583" si="138">F567*I567</f>
        <v>0</v>
      </c>
      <c r="M567" s="147">
        <f t="shared" ref="M567:M583" si="139">J567+K567+L567</f>
        <v>0</v>
      </c>
      <c r="O567" s="139"/>
      <c r="P567" s="139"/>
      <c r="Q567" s="139"/>
      <c r="R567" s="139"/>
      <c r="S567" s="139"/>
      <c r="T567" s="139"/>
      <c r="U567" s="139"/>
      <c r="V567" s="139"/>
      <c r="W567" s="139"/>
      <c r="X567" s="139"/>
      <c r="Y567" s="139"/>
      <c r="Z567" s="139"/>
      <c r="AA567" s="139"/>
      <c r="AB567" s="139"/>
      <c r="AC567" s="139"/>
      <c r="AD567" s="139"/>
      <c r="AE567" s="139"/>
      <c r="AF567" s="139"/>
      <c r="AG567" s="139"/>
      <c r="AH567" s="139"/>
      <c r="AI567" s="139"/>
      <c r="AJ567" s="139"/>
      <c r="AK567" s="139"/>
      <c r="AL567" s="139"/>
      <c r="AM567" s="139"/>
      <c r="AN567" s="139"/>
      <c r="AO567" s="139"/>
      <c r="AP567" s="139"/>
      <c r="AQ567" s="139"/>
      <c r="AR567" s="139"/>
      <c r="AS567" s="139"/>
      <c r="AT567" s="139"/>
      <c r="AU567" s="139"/>
      <c r="AV567" s="139"/>
      <c r="AW567" s="139"/>
      <c r="AX567" s="139"/>
      <c r="AY567" s="139"/>
      <c r="AZ567" s="139"/>
      <c r="BA567" s="139"/>
      <c r="BB567" s="139"/>
      <c r="BC567" s="139"/>
      <c r="BD567" s="139"/>
      <c r="BE567" s="139"/>
      <c r="BF567" s="139"/>
      <c r="BG567" s="139"/>
      <c r="BH567" s="139"/>
      <c r="BI567" s="139"/>
      <c r="BJ567" s="139"/>
      <c r="BK567" s="139"/>
      <c r="BL567" s="139"/>
      <c r="BM567" s="139"/>
      <c r="BN567" s="139"/>
      <c r="BO567" s="139"/>
      <c r="BP567" s="139"/>
      <c r="BQ567" s="139"/>
      <c r="BR567" s="139"/>
      <c r="BS567" s="139"/>
      <c r="BT567" s="139"/>
      <c r="BU567" s="139"/>
      <c r="BV567" s="139"/>
      <c r="BW567" s="139"/>
      <c r="BX567" s="139"/>
      <c r="BY567" s="139"/>
      <c r="BZ567" s="139"/>
      <c r="CA567" s="139"/>
      <c r="CB567" s="139"/>
      <c r="CC567" s="139"/>
      <c r="CD567" s="139"/>
      <c r="CE567" s="139"/>
      <c r="CF567" s="139"/>
      <c r="CG567" s="139"/>
      <c r="CH567" s="139"/>
      <c r="CI567" s="139"/>
      <c r="CJ567" s="139"/>
      <c r="CK567" s="139"/>
    </row>
    <row r="568" spans="1:89">
      <c r="A568" s="160"/>
      <c r="B568" s="129">
        <v>559</v>
      </c>
      <c r="C568" s="143" t="s">
        <v>476</v>
      </c>
      <c r="D568" s="123" t="s">
        <v>6</v>
      </c>
      <c r="E568" s="204">
        <v>570</v>
      </c>
      <c r="F568" s="147">
        <f>(1.98+1.52)*2*2.5</f>
        <v>17.5</v>
      </c>
      <c r="G568" s="147">
        <v>1</v>
      </c>
      <c r="H568" s="147"/>
      <c r="I568" s="205">
        <f t="shared" ref="I568:I622" si="140">(G568*0.1)+(H568*0.03)</f>
        <v>0.1</v>
      </c>
      <c r="J568" s="147">
        <f t="shared" si="136"/>
        <v>17.5</v>
      </c>
      <c r="K568" s="147">
        <f t="shared" si="137"/>
        <v>0</v>
      </c>
      <c r="L568" s="147">
        <f t="shared" si="138"/>
        <v>1.75</v>
      </c>
      <c r="M568" s="147">
        <f t="shared" si="139"/>
        <v>19.25</v>
      </c>
      <c r="CD568" s="104"/>
      <c r="CE568" s="104"/>
      <c r="CF568" s="104"/>
      <c r="CG568" s="104"/>
      <c r="CH568" s="104"/>
      <c r="CI568" s="104"/>
      <c r="CJ568" s="104"/>
      <c r="CK568" s="104"/>
    </row>
    <row r="569" spans="1:89">
      <c r="A569" s="160"/>
      <c r="B569" s="129">
        <v>560</v>
      </c>
      <c r="C569" s="157" t="s">
        <v>399</v>
      </c>
      <c r="D569" s="123" t="s">
        <v>6</v>
      </c>
      <c r="E569" s="204">
        <v>249</v>
      </c>
      <c r="F569" s="147">
        <v>3</v>
      </c>
      <c r="G569" s="147">
        <v>1.25</v>
      </c>
      <c r="H569" s="147"/>
      <c r="I569" s="205">
        <f t="shared" si="140"/>
        <v>0.125</v>
      </c>
      <c r="J569" s="147">
        <f t="shared" si="136"/>
        <v>3.75</v>
      </c>
      <c r="K569" s="147">
        <f t="shared" si="137"/>
        <v>0</v>
      </c>
      <c r="L569" s="147">
        <f t="shared" si="138"/>
        <v>0.375</v>
      </c>
      <c r="M569" s="147">
        <f t="shared" si="139"/>
        <v>4.125</v>
      </c>
      <c r="CD569" s="104"/>
      <c r="CE569" s="104"/>
      <c r="CF569" s="104"/>
      <c r="CG569" s="104"/>
      <c r="CH569" s="104"/>
      <c r="CI569" s="104"/>
      <c r="CJ569" s="104"/>
      <c r="CK569" s="104"/>
    </row>
    <row r="570" spans="1:89">
      <c r="A570" s="104"/>
      <c r="B570" s="129">
        <v>561</v>
      </c>
      <c r="C570" s="131" t="s">
        <v>400</v>
      </c>
      <c r="D570" s="123" t="s">
        <v>6</v>
      </c>
      <c r="E570" s="204"/>
      <c r="F570" s="147">
        <v>3</v>
      </c>
      <c r="G570" s="147">
        <v>0.8</v>
      </c>
      <c r="H570" s="147"/>
      <c r="I570" s="205">
        <f t="shared" si="140"/>
        <v>8.0000000000000016E-2</v>
      </c>
      <c r="J570" s="147">
        <f t="shared" si="136"/>
        <v>2.4000000000000004</v>
      </c>
      <c r="K570" s="147">
        <f t="shared" si="137"/>
        <v>0</v>
      </c>
      <c r="L570" s="147">
        <f t="shared" si="138"/>
        <v>0.24000000000000005</v>
      </c>
      <c r="M570" s="147">
        <f t="shared" si="139"/>
        <v>2.6400000000000006</v>
      </c>
      <c r="CD570" s="104"/>
      <c r="CE570" s="104"/>
      <c r="CF570" s="104"/>
      <c r="CG570" s="104"/>
      <c r="CH570" s="104"/>
      <c r="CI570" s="104"/>
      <c r="CJ570" s="104"/>
      <c r="CK570" s="104"/>
    </row>
    <row r="571" spans="1:89" s="112" customFormat="1">
      <c r="B571" s="129">
        <v>562</v>
      </c>
      <c r="C571" s="106" t="s">
        <v>391</v>
      </c>
      <c r="D571" s="124" t="s">
        <v>502</v>
      </c>
      <c r="E571" s="117"/>
      <c r="F571" s="205">
        <v>1</v>
      </c>
      <c r="G571" s="205"/>
      <c r="H571" s="205">
        <v>5.17</v>
      </c>
      <c r="I571" s="205">
        <f t="shared" si="140"/>
        <v>0.15509999999999999</v>
      </c>
      <c r="J571" s="147">
        <f t="shared" si="136"/>
        <v>0</v>
      </c>
      <c r="K571" s="147">
        <f t="shared" si="137"/>
        <v>5.17</v>
      </c>
      <c r="L571" s="147">
        <f t="shared" si="138"/>
        <v>0.15509999999999999</v>
      </c>
      <c r="M571" s="147">
        <f t="shared" si="139"/>
        <v>5.3250999999999999</v>
      </c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  <c r="AG571" s="113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113"/>
      <c r="AS571" s="113"/>
      <c r="AT571" s="113"/>
      <c r="AU571" s="113"/>
      <c r="AV571" s="113"/>
      <c r="AW571" s="113"/>
      <c r="AX571" s="113"/>
      <c r="AY571" s="113"/>
      <c r="AZ571" s="113"/>
      <c r="BA571" s="113"/>
      <c r="BB571" s="113"/>
      <c r="BC571" s="113"/>
      <c r="BD571" s="113"/>
      <c r="BE571" s="113"/>
      <c r="BF571" s="113"/>
      <c r="BG571" s="113"/>
      <c r="BH571" s="113"/>
      <c r="BI571" s="113"/>
      <c r="BJ571" s="113"/>
      <c r="BK571" s="113"/>
      <c r="BL571" s="113"/>
      <c r="BM571" s="113"/>
      <c r="BN571" s="113"/>
      <c r="BO571" s="113"/>
      <c r="BP571" s="113"/>
      <c r="BQ571" s="113"/>
      <c r="BR571" s="113"/>
      <c r="BS571" s="113"/>
      <c r="BT571" s="113"/>
      <c r="BU571" s="113"/>
      <c r="BV571" s="113"/>
      <c r="BW571" s="113"/>
      <c r="BX571" s="113"/>
      <c r="BY571" s="113"/>
      <c r="BZ571" s="113"/>
      <c r="CA571" s="113"/>
      <c r="CB571" s="113"/>
      <c r="CC571" s="113"/>
      <c r="CD571" s="113"/>
      <c r="CE571" s="113"/>
      <c r="CF571" s="113"/>
      <c r="CG571" s="113"/>
      <c r="CH571" s="113"/>
      <c r="CI571" s="113"/>
      <c r="CJ571" s="113"/>
      <c r="CK571" s="113"/>
    </row>
    <row r="572" spans="1:89" s="112" customFormat="1">
      <c r="A572" s="162"/>
      <c r="B572" s="129">
        <v>563</v>
      </c>
      <c r="C572" s="106" t="s">
        <v>108</v>
      </c>
      <c r="D572" s="124" t="s">
        <v>47</v>
      </c>
      <c r="E572" s="210">
        <v>200</v>
      </c>
      <c r="F572" s="205">
        <f>1.5*20.5</f>
        <v>30.75</v>
      </c>
      <c r="G572" s="205"/>
      <c r="H572" s="205">
        <v>0.6</v>
      </c>
      <c r="I572" s="205">
        <f t="shared" si="140"/>
        <v>1.7999999999999999E-2</v>
      </c>
      <c r="J572" s="147">
        <f t="shared" si="136"/>
        <v>0</v>
      </c>
      <c r="K572" s="147">
        <f t="shared" si="137"/>
        <v>18.45</v>
      </c>
      <c r="L572" s="147">
        <f t="shared" si="138"/>
        <v>0.55349999999999999</v>
      </c>
      <c r="M572" s="147">
        <f t="shared" si="139"/>
        <v>19.003499999999999</v>
      </c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113"/>
      <c r="AS572" s="113"/>
      <c r="AT572" s="113"/>
      <c r="AU572" s="113"/>
      <c r="AV572" s="113"/>
      <c r="AW572" s="113"/>
      <c r="AX572" s="113"/>
      <c r="AY572" s="113"/>
      <c r="AZ572" s="113"/>
      <c r="BA572" s="113"/>
      <c r="BB572" s="113"/>
      <c r="BC572" s="113"/>
      <c r="BD572" s="113"/>
      <c r="BE572" s="113"/>
      <c r="BF572" s="113"/>
      <c r="BG572" s="113"/>
      <c r="BH572" s="113"/>
      <c r="BI572" s="113"/>
      <c r="BJ572" s="113"/>
      <c r="BK572" s="113"/>
      <c r="BL572" s="113"/>
      <c r="BM572" s="113"/>
      <c r="BN572" s="113"/>
      <c r="BO572" s="113"/>
      <c r="BP572" s="113"/>
      <c r="BQ572" s="113"/>
      <c r="BR572" s="113"/>
      <c r="BS572" s="113"/>
      <c r="BT572" s="113"/>
      <c r="BU572" s="113"/>
      <c r="BV572" s="113"/>
      <c r="BW572" s="113"/>
      <c r="BX572" s="113"/>
      <c r="BY572" s="113"/>
      <c r="BZ572" s="113"/>
      <c r="CA572" s="113"/>
      <c r="CB572" s="113"/>
      <c r="CC572" s="113"/>
      <c r="CD572" s="113"/>
      <c r="CE572" s="113"/>
      <c r="CF572" s="113"/>
      <c r="CG572" s="113"/>
      <c r="CH572" s="113"/>
      <c r="CI572" s="113"/>
      <c r="CJ572" s="113"/>
      <c r="CK572" s="113"/>
    </row>
    <row r="573" spans="1:89" s="112" customFormat="1">
      <c r="A573" s="162"/>
      <c r="B573" s="129">
        <v>564</v>
      </c>
      <c r="C573" s="106" t="s">
        <v>110</v>
      </c>
      <c r="D573" s="124" t="s">
        <v>47</v>
      </c>
      <c r="E573" s="210">
        <v>382</v>
      </c>
      <c r="F573" s="205">
        <v>3</v>
      </c>
      <c r="G573" s="205"/>
      <c r="H573" s="205">
        <v>1.59</v>
      </c>
      <c r="I573" s="205">
        <f t="shared" si="140"/>
        <v>4.7699999999999999E-2</v>
      </c>
      <c r="J573" s="147">
        <f t="shared" si="136"/>
        <v>0</v>
      </c>
      <c r="K573" s="147">
        <f t="shared" si="137"/>
        <v>4.7700000000000005</v>
      </c>
      <c r="L573" s="147">
        <f t="shared" si="138"/>
        <v>0.1431</v>
      </c>
      <c r="M573" s="147">
        <f t="shared" si="139"/>
        <v>4.9131</v>
      </c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113"/>
      <c r="AS573" s="113"/>
      <c r="AT573" s="113"/>
      <c r="AU573" s="113"/>
      <c r="AV573" s="113"/>
      <c r="AW573" s="113"/>
      <c r="AX573" s="113"/>
      <c r="AY573" s="113"/>
      <c r="AZ573" s="113"/>
      <c r="BA573" s="113"/>
      <c r="BB573" s="113"/>
      <c r="BC573" s="113"/>
      <c r="BD573" s="113"/>
      <c r="BE573" s="113"/>
      <c r="BF573" s="113"/>
      <c r="BG573" s="113"/>
      <c r="BH573" s="113"/>
      <c r="BI573" s="113"/>
      <c r="BJ573" s="113"/>
      <c r="BK573" s="113"/>
      <c r="BL573" s="113"/>
      <c r="BM573" s="113"/>
      <c r="BN573" s="113"/>
      <c r="BO573" s="113"/>
      <c r="BP573" s="113"/>
      <c r="BQ573" s="113"/>
      <c r="BR573" s="113"/>
      <c r="BS573" s="113"/>
      <c r="BT573" s="113"/>
      <c r="BU573" s="113"/>
      <c r="BV573" s="113"/>
      <c r="BW573" s="113"/>
      <c r="BX573" s="113"/>
      <c r="BY573" s="113"/>
      <c r="BZ573" s="113"/>
      <c r="CA573" s="113"/>
      <c r="CB573" s="113"/>
      <c r="CC573" s="113"/>
      <c r="CD573" s="113"/>
      <c r="CE573" s="113"/>
      <c r="CF573" s="113"/>
      <c r="CG573" s="113"/>
      <c r="CH573" s="113"/>
      <c r="CI573" s="113"/>
      <c r="CJ573" s="113"/>
      <c r="CK573" s="113"/>
    </row>
    <row r="574" spans="1:89">
      <c r="A574" s="160"/>
      <c r="B574" s="129">
        <v>565</v>
      </c>
      <c r="C574" s="109" t="s">
        <v>511</v>
      </c>
      <c r="D574" s="123" t="s">
        <v>6</v>
      </c>
      <c r="E574" s="204">
        <v>155.5</v>
      </c>
      <c r="F574" s="147">
        <v>3</v>
      </c>
      <c r="G574" s="147">
        <v>2.5</v>
      </c>
      <c r="H574" s="147"/>
      <c r="I574" s="205">
        <f t="shared" si="140"/>
        <v>0.25</v>
      </c>
      <c r="J574" s="147">
        <f t="shared" si="136"/>
        <v>7.5</v>
      </c>
      <c r="K574" s="147">
        <f t="shared" si="137"/>
        <v>0</v>
      </c>
      <c r="L574" s="147">
        <f t="shared" si="138"/>
        <v>0.75</v>
      </c>
      <c r="M574" s="147">
        <f t="shared" si="139"/>
        <v>8.25</v>
      </c>
      <c r="CD574" s="104"/>
      <c r="CE574" s="104"/>
      <c r="CF574" s="104"/>
      <c r="CG574" s="104"/>
      <c r="CH574" s="104"/>
      <c r="CI574" s="104"/>
      <c r="CJ574" s="104"/>
      <c r="CK574" s="104"/>
    </row>
    <row r="575" spans="1:89" ht="12.75" customHeight="1">
      <c r="B575" s="129">
        <v>566</v>
      </c>
      <c r="C575" s="106" t="s">
        <v>395</v>
      </c>
      <c r="D575" s="123"/>
      <c r="E575" s="129"/>
      <c r="F575" s="147">
        <f>1.1*3</f>
        <v>3.3000000000000003</v>
      </c>
      <c r="G575" s="147"/>
      <c r="H575" s="147">
        <v>0.25</v>
      </c>
      <c r="I575" s="205">
        <f t="shared" si="140"/>
        <v>7.4999999999999997E-3</v>
      </c>
      <c r="J575" s="147">
        <f t="shared" si="136"/>
        <v>0</v>
      </c>
      <c r="K575" s="147">
        <f t="shared" si="137"/>
        <v>0.82500000000000007</v>
      </c>
      <c r="L575" s="147">
        <f t="shared" si="138"/>
        <v>2.4750000000000001E-2</v>
      </c>
      <c r="M575" s="147">
        <f t="shared" si="139"/>
        <v>0.84975000000000012</v>
      </c>
      <c r="CD575" s="104"/>
      <c r="CE575" s="104"/>
      <c r="CF575" s="104"/>
      <c r="CG575" s="104"/>
      <c r="CH575" s="104"/>
      <c r="CI575" s="104"/>
      <c r="CJ575" s="104"/>
      <c r="CK575" s="104"/>
    </row>
    <row r="576" spans="1:89">
      <c r="B576" s="129">
        <v>567</v>
      </c>
      <c r="C576" s="106" t="s">
        <v>435</v>
      </c>
      <c r="D576" s="123"/>
      <c r="E576" s="129"/>
      <c r="F576" s="147">
        <f>1.05*3</f>
        <v>3.1500000000000004</v>
      </c>
      <c r="G576" s="147"/>
      <c r="H576" s="147">
        <v>4.8</v>
      </c>
      <c r="I576" s="205">
        <f t="shared" si="140"/>
        <v>0.14399999999999999</v>
      </c>
      <c r="J576" s="147">
        <f t="shared" si="136"/>
        <v>0</v>
      </c>
      <c r="K576" s="147">
        <f t="shared" si="137"/>
        <v>15.120000000000001</v>
      </c>
      <c r="L576" s="147">
        <f t="shared" si="138"/>
        <v>0.4536</v>
      </c>
      <c r="M576" s="147">
        <f t="shared" si="139"/>
        <v>15.573600000000001</v>
      </c>
      <c r="CD576" s="104"/>
      <c r="CE576" s="104"/>
      <c r="CF576" s="104"/>
      <c r="CG576" s="104"/>
      <c r="CH576" s="104"/>
      <c r="CI576" s="104"/>
      <c r="CJ576" s="104"/>
      <c r="CK576" s="104"/>
    </row>
    <row r="577" spans="1:89">
      <c r="A577" s="160"/>
      <c r="B577" s="129">
        <v>568</v>
      </c>
      <c r="C577" s="131" t="s">
        <v>111</v>
      </c>
      <c r="D577" s="123" t="s">
        <v>6</v>
      </c>
      <c r="E577" s="204">
        <v>400</v>
      </c>
      <c r="F577" s="147"/>
      <c r="G577" s="147">
        <v>0.85</v>
      </c>
      <c r="H577" s="147"/>
      <c r="I577" s="205">
        <f t="shared" si="140"/>
        <v>8.5000000000000006E-2</v>
      </c>
      <c r="J577" s="147">
        <f t="shared" si="136"/>
        <v>0</v>
      </c>
      <c r="K577" s="147">
        <f t="shared" si="137"/>
        <v>0</v>
      </c>
      <c r="L577" s="147">
        <f t="shared" si="138"/>
        <v>0</v>
      </c>
      <c r="M577" s="147">
        <f t="shared" si="139"/>
        <v>0</v>
      </c>
      <c r="CD577" s="104"/>
      <c r="CE577" s="104"/>
      <c r="CF577" s="104"/>
      <c r="CG577" s="104"/>
      <c r="CH577" s="104"/>
      <c r="CI577" s="104"/>
      <c r="CJ577" s="104"/>
      <c r="CK577" s="104"/>
    </row>
    <row r="578" spans="1:89" s="112" customFormat="1">
      <c r="A578" s="162"/>
      <c r="B578" s="129">
        <v>569</v>
      </c>
      <c r="C578" s="106" t="s">
        <v>225</v>
      </c>
      <c r="D578" s="124" t="s">
        <v>6</v>
      </c>
      <c r="E578" s="210">
        <v>400</v>
      </c>
      <c r="F578" s="205"/>
      <c r="G578" s="205"/>
      <c r="H578" s="205">
        <v>0.37</v>
      </c>
      <c r="I578" s="205">
        <f t="shared" si="140"/>
        <v>1.1099999999999999E-2</v>
      </c>
      <c r="J578" s="147">
        <f t="shared" si="136"/>
        <v>0</v>
      </c>
      <c r="K578" s="147">
        <f t="shared" si="137"/>
        <v>0</v>
      </c>
      <c r="L578" s="147">
        <f t="shared" si="138"/>
        <v>0</v>
      </c>
      <c r="M578" s="147">
        <f t="shared" si="139"/>
        <v>0</v>
      </c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113"/>
      <c r="AS578" s="113"/>
      <c r="AT578" s="113"/>
      <c r="AU578" s="113"/>
      <c r="AV578" s="113"/>
      <c r="AW578" s="113"/>
      <c r="AX578" s="113"/>
      <c r="AY578" s="113"/>
      <c r="AZ578" s="113"/>
      <c r="BA578" s="113"/>
      <c r="BB578" s="113"/>
      <c r="BC578" s="113"/>
      <c r="BD578" s="113"/>
      <c r="BE578" s="113"/>
      <c r="BF578" s="113"/>
      <c r="BG578" s="113"/>
      <c r="BH578" s="113"/>
      <c r="BI578" s="113"/>
      <c r="BJ578" s="113"/>
      <c r="BK578" s="113"/>
      <c r="BL578" s="113"/>
      <c r="BM578" s="113"/>
      <c r="BN578" s="113"/>
      <c r="BO578" s="113"/>
      <c r="BP578" s="113"/>
      <c r="BQ578" s="113"/>
      <c r="BR578" s="113"/>
      <c r="BS578" s="113"/>
      <c r="BT578" s="113"/>
      <c r="BU578" s="113"/>
      <c r="BV578" s="113"/>
      <c r="BW578" s="113"/>
      <c r="BX578" s="113"/>
      <c r="BY578" s="113"/>
      <c r="BZ578" s="113"/>
      <c r="CA578" s="113"/>
      <c r="CB578" s="113"/>
      <c r="CC578" s="113"/>
      <c r="CD578" s="113"/>
      <c r="CE578" s="113"/>
      <c r="CF578" s="113"/>
      <c r="CG578" s="113"/>
      <c r="CH578" s="113"/>
      <c r="CI578" s="113"/>
      <c r="CJ578" s="113"/>
      <c r="CK578" s="113"/>
    </row>
    <row r="579" spans="1:89">
      <c r="A579" s="160"/>
      <c r="B579" s="129">
        <v>570</v>
      </c>
      <c r="C579" s="131" t="s">
        <v>120</v>
      </c>
      <c r="D579" s="123" t="s">
        <v>114</v>
      </c>
      <c r="E579" s="204">
        <v>252</v>
      </c>
      <c r="F579" s="147">
        <v>18.8</v>
      </c>
      <c r="G579" s="147">
        <v>1.1000000000000001</v>
      </c>
      <c r="H579" s="147"/>
      <c r="I579" s="205">
        <f t="shared" si="140"/>
        <v>0.11000000000000001</v>
      </c>
      <c r="J579" s="147">
        <f t="shared" si="136"/>
        <v>20.680000000000003</v>
      </c>
      <c r="K579" s="147">
        <f t="shared" si="137"/>
        <v>0</v>
      </c>
      <c r="L579" s="147">
        <f t="shared" si="138"/>
        <v>2.0680000000000005</v>
      </c>
      <c r="M579" s="147">
        <f t="shared" si="139"/>
        <v>22.748000000000005</v>
      </c>
      <c r="CD579" s="104"/>
      <c r="CE579" s="104"/>
      <c r="CF579" s="104"/>
      <c r="CG579" s="104"/>
      <c r="CH579" s="104"/>
      <c r="CI579" s="104"/>
      <c r="CJ579" s="104"/>
      <c r="CK579" s="104"/>
    </row>
    <row r="580" spans="1:89" s="112" customFormat="1">
      <c r="A580" s="162"/>
      <c r="B580" s="129">
        <v>571</v>
      </c>
      <c r="C580" s="106" t="s">
        <v>121</v>
      </c>
      <c r="D580" s="124" t="s">
        <v>114</v>
      </c>
      <c r="E580" s="210">
        <v>162</v>
      </c>
      <c r="F580" s="205">
        <f>(1.98+1.52)*2-3.2</f>
        <v>3.8</v>
      </c>
      <c r="G580" s="205"/>
      <c r="H580" s="205">
        <v>1.85</v>
      </c>
      <c r="I580" s="205">
        <f t="shared" si="140"/>
        <v>5.5500000000000001E-2</v>
      </c>
      <c r="J580" s="147">
        <f t="shared" si="136"/>
        <v>0</v>
      </c>
      <c r="K580" s="147">
        <f t="shared" si="137"/>
        <v>7.03</v>
      </c>
      <c r="L580" s="147">
        <f t="shared" si="138"/>
        <v>0.2109</v>
      </c>
      <c r="M580" s="147">
        <f t="shared" si="139"/>
        <v>7.2408999999999999</v>
      </c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113"/>
      <c r="AS580" s="113"/>
      <c r="AT580" s="113"/>
      <c r="AU580" s="113"/>
      <c r="AV580" s="113"/>
      <c r="AW580" s="113"/>
      <c r="AX580" s="113"/>
      <c r="AY580" s="113"/>
      <c r="AZ580" s="113"/>
      <c r="BA580" s="113"/>
      <c r="BB580" s="113"/>
      <c r="BC580" s="113"/>
      <c r="BD580" s="113"/>
      <c r="BE580" s="113"/>
      <c r="BF580" s="113"/>
      <c r="BG580" s="113"/>
      <c r="BH580" s="113"/>
      <c r="BI580" s="113"/>
      <c r="BJ580" s="113"/>
      <c r="BK580" s="113"/>
      <c r="BL580" s="113"/>
      <c r="BM580" s="113"/>
      <c r="BN580" s="113"/>
      <c r="BO580" s="113"/>
      <c r="BP580" s="113"/>
      <c r="BQ580" s="113"/>
      <c r="BR580" s="113"/>
      <c r="BS580" s="113"/>
      <c r="BT580" s="113"/>
      <c r="BU580" s="113"/>
      <c r="BV580" s="113"/>
      <c r="BW580" s="113"/>
      <c r="BX580" s="113"/>
      <c r="BY580" s="113"/>
      <c r="BZ580" s="113"/>
      <c r="CA580" s="113"/>
      <c r="CB580" s="113"/>
      <c r="CC580" s="113"/>
      <c r="CD580" s="113"/>
      <c r="CE580" s="113"/>
      <c r="CF580" s="113"/>
      <c r="CG580" s="113"/>
      <c r="CH580" s="113"/>
      <c r="CI580" s="113"/>
      <c r="CJ580" s="113"/>
      <c r="CK580" s="113"/>
    </row>
    <row r="581" spans="1:89" s="112" customFormat="1">
      <c r="A581" s="162"/>
      <c r="B581" s="129">
        <v>572</v>
      </c>
      <c r="C581" s="106" t="s">
        <v>122</v>
      </c>
      <c r="D581" s="124" t="s">
        <v>114</v>
      </c>
      <c r="E581" s="210">
        <v>90</v>
      </c>
      <c r="F581" s="205">
        <v>15</v>
      </c>
      <c r="G581" s="205"/>
      <c r="H581" s="205">
        <v>1.85</v>
      </c>
      <c r="I581" s="205">
        <f t="shared" si="140"/>
        <v>5.5500000000000001E-2</v>
      </c>
      <c r="J581" s="147">
        <f t="shared" si="136"/>
        <v>0</v>
      </c>
      <c r="K581" s="147">
        <f t="shared" si="137"/>
        <v>27.75</v>
      </c>
      <c r="L581" s="147">
        <f t="shared" si="138"/>
        <v>0.83250000000000002</v>
      </c>
      <c r="M581" s="147">
        <f t="shared" si="139"/>
        <v>28.5825</v>
      </c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113"/>
      <c r="AS581" s="113"/>
      <c r="AT581" s="113"/>
      <c r="AU581" s="113"/>
      <c r="AV581" s="113"/>
      <c r="AW581" s="113"/>
      <c r="AX581" s="113"/>
      <c r="AY581" s="113"/>
      <c r="AZ581" s="113"/>
      <c r="BA581" s="113"/>
      <c r="BB581" s="113"/>
      <c r="BC581" s="113"/>
      <c r="BD581" s="113"/>
      <c r="BE581" s="113"/>
      <c r="BF581" s="113"/>
      <c r="BG581" s="113"/>
      <c r="BH581" s="113"/>
      <c r="BI581" s="113"/>
      <c r="BJ581" s="113"/>
      <c r="BK581" s="113"/>
      <c r="BL581" s="113"/>
      <c r="BM581" s="113"/>
      <c r="BN581" s="113"/>
      <c r="BO581" s="113"/>
      <c r="BP581" s="113"/>
      <c r="BQ581" s="113"/>
      <c r="BR581" s="113"/>
      <c r="BS581" s="113"/>
      <c r="BT581" s="113"/>
      <c r="BU581" s="113"/>
      <c r="BV581" s="113"/>
      <c r="BW581" s="113"/>
      <c r="BX581" s="113"/>
      <c r="BY581" s="113"/>
      <c r="BZ581" s="113"/>
      <c r="CA581" s="113"/>
      <c r="CB581" s="113"/>
      <c r="CC581" s="113"/>
      <c r="CD581" s="113"/>
      <c r="CE581" s="113"/>
      <c r="CF581" s="113"/>
      <c r="CG581" s="113"/>
      <c r="CH581" s="113"/>
      <c r="CI581" s="113"/>
      <c r="CJ581" s="113"/>
      <c r="CK581" s="113"/>
    </row>
    <row r="582" spans="1:89" s="112" customFormat="1">
      <c r="A582" s="162"/>
      <c r="B582" s="129">
        <v>573</v>
      </c>
      <c r="C582" s="106" t="s">
        <v>39</v>
      </c>
      <c r="D582" s="124" t="s">
        <v>83</v>
      </c>
      <c r="E582" s="210">
        <v>252</v>
      </c>
      <c r="F582" s="205">
        <v>15</v>
      </c>
      <c r="G582" s="205"/>
      <c r="H582" s="205">
        <v>0.44</v>
      </c>
      <c r="I582" s="205">
        <f t="shared" si="140"/>
        <v>1.32E-2</v>
      </c>
      <c r="J582" s="147">
        <f t="shared" si="136"/>
        <v>0</v>
      </c>
      <c r="K582" s="147">
        <f t="shared" si="137"/>
        <v>6.6</v>
      </c>
      <c r="L582" s="147">
        <f t="shared" si="138"/>
        <v>0.19800000000000001</v>
      </c>
      <c r="M582" s="147">
        <f t="shared" si="139"/>
        <v>6.798</v>
      </c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113"/>
      <c r="AS582" s="113"/>
      <c r="AT582" s="113"/>
      <c r="AU582" s="113"/>
      <c r="AV582" s="113"/>
      <c r="AW582" s="113"/>
      <c r="AX582" s="113"/>
      <c r="AY582" s="113"/>
      <c r="AZ582" s="113"/>
      <c r="BA582" s="113"/>
      <c r="BB582" s="113"/>
      <c r="BC582" s="113"/>
      <c r="BD582" s="113"/>
      <c r="BE582" s="113"/>
      <c r="BF582" s="113"/>
      <c r="BG582" s="113"/>
      <c r="BH582" s="113"/>
      <c r="BI582" s="113"/>
      <c r="BJ582" s="113"/>
      <c r="BK582" s="113"/>
      <c r="BL582" s="113"/>
      <c r="BM582" s="113"/>
      <c r="BN582" s="113"/>
      <c r="BO582" s="113"/>
      <c r="BP582" s="113"/>
      <c r="BQ582" s="113"/>
      <c r="BR582" s="113"/>
      <c r="BS582" s="113"/>
      <c r="BT582" s="113"/>
      <c r="BU582" s="113"/>
      <c r="BV582" s="113"/>
      <c r="BW582" s="113"/>
      <c r="BX582" s="113"/>
      <c r="BY582" s="113"/>
      <c r="BZ582" s="113"/>
      <c r="CA582" s="113"/>
      <c r="CB582" s="113"/>
      <c r="CC582" s="113"/>
      <c r="CD582" s="113"/>
      <c r="CE582" s="113"/>
      <c r="CF582" s="113"/>
      <c r="CG582" s="113"/>
      <c r="CH582" s="113"/>
      <c r="CI582" s="113"/>
      <c r="CJ582" s="113"/>
      <c r="CK582" s="113"/>
    </row>
    <row r="583" spans="1:89" s="112" customFormat="1">
      <c r="A583" s="162"/>
      <c r="B583" s="129">
        <v>574</v>
      </c>
      <c r="C583" s="106" t="s">
        <v>119</v>
      </c>
      <c r="D583" s="124" t="s">
        <v>47</v>
      </c>
      <c r="E583" s="210">
        <v>20</v>
      </c>
      <c r="F583" s="205">
        <f>0.25*(F581+F580)*0.07</f>
        <v>0.32900000000000007</v>
      </c>
      <c r="G583" s="205"/>
      <c r="H583" s="205">
        <v>4.87</v>
      </c>
      <c r="I583" s="205">
        <f t="shared" si="140"/>
        <v>0.14610000000000001</v>
      </c>
      <c r="J583" s="147">
        <f t="shared" si="136"/>
        <v>0</v>
      </c>
      <c r="K583" s="147">
        <f t="shared" si="137"/>
        <v>1.6022300000000005</v>
      </c>
      <c r="L583" s="147">
        <f t="shared" si="138"/>
        <v>4.806690000000001E-2</v>
      </c>
      <c r="M583" s="147">
        <f t="shared" si="139"/>
        <v>1.6502969000000005</v>
      </c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113"/>
      <c r="AS583" s="113"/>
      <c r="AT583" s="113"/>
      <c r="AU583" s="113"/>
      <c r="AV583" s="113"/>
      <c r="AW583" s="113"/>
      <c r="AX583" s="113"/>
      <c r="AY583" s="113"/>
      <c r="AZ583" s="113"/>
      <c r="BA583" s="113"/>
      <c r="BB583" s="113"/>
      <c r="BC583" s="113"/>
      <c r="BD583" s="113"/>
      <c r="BE583" s="113"/>
      <c r="BF583" s="113"/>
      <c r="BG583" s="113"/>
      <c r="BH583" s="113"/>
      <c r="BI583" s="113"/>
      <c r="BJ583" s="113"/>
      <c r="BK583" s="113"/>
      <c r="BL583" s="113"/>
      <c r="BM583" s="113"/>
      <c r="BN583" s="113"/>
      <c r="BO583" s="113"/>
      <c r="BP583" s="113"/>
      <c r="BQ583" s="113"/>
      <c r="BR583" s="113"/>
      <c r="BS583" s="113"/>
      <c r="BT583" s="113"/>
      <c r="BU583" s="113"/>
      <c r="BV583" s="113"/>
      <c r="BW583" s="113"/>
      <c r="BX583" s="113"/>
      <c r="BY583" s="113"/>
      <c r="BZ583" s="113"/>
      <c r="CA583" s="113"/>
      <c r="CB583" s="113"/>
      <c r="CC583" s="113"/>
      <c r="CD583" s="113"/>
      <c r="CE583" s="113"/>
      <c r="CF583" s="113"/>
      <c r="CG583" s="113"/>
      <c r="CH583" s="113"/>
      <c r="CI583" s="113"/>
      <c r="CJ583" s="113"/>
      <c r="CK583" s="113"/>
    </row>
    <row r="584" spans="1:89" s="140" customFormat="1">
      <c r="A584" s="161"/>
      <c r="B584" s="129">
        <v>575</v>
      </c>
      <c r="C584" s="182" t="s">
        <v>480</v>
      </c>
      <c r="D584" s="137"/>
      <c r="E584" s="209"/>
      <c r="F584" s="206"/>
      <c r="G584" s="206"/>
      <c r="H584" s="206"/>
      <c r="I584" s="206"/>
      <c r="J584" s="147">
        <f t="shared" ref="J584:J600" si="141">F584*G584</f>
        <v>0</v>
      </c>
      <c r="K584" s="147">
        <f t="shared" ref="K584:K600" si="142">F584*H584</f>
        <v>0</v>
      </c>
      <c r="L584" s="147">
        <f t="shared" ref="L584:L600" si="143">F584*I584</f>
        <v>0</v>
      </c>
      <c r="M584" s="147">
        <f t="shared" ref="M584:M600" si="144">J584+K584+L584</f>
        <v>0</v>
      </c>
      <c r="O584" s="139"/>
      <c r="P584" s="139"/>
      <c r="Q584" s="139"/>
      <c r="R584" s="139"/>
      <c r="S584" s="139"/>
      <c r="T584" s="139"/>
      <c r="U584" s="139"/>
      <c r="V584" s="139"/>
      <c r="W584" s="139"/>
      <c r="X584" s="139"/>
      <c r="Y584" s="139"/>
      <c r="Z584" s="139"/>
      <c r="AA584" s="139"/>
      <c r="AB584" s="139"/>
      <c r="AC584" s="139"/>
      <c r="AD584" s="139"/>
      <c r="AE584" s="139"/>
      <c r="AF584" s="139"/>
      <c r="AG584" s="139"/>
      <c r="AH584" s="139"/>
      <c r="AI584" s="139"/>
      <c r="AJ584" s="139"/>
      <c r="AK584" s="139"/>
      <c r="AL584" s="139"/>
      <c r="AM584" s="139"/>
      <c r="AN584" s="139"/>
      <c r="AO584" s="139"/>
      <c r="AP584" s="139"/>
      <c r="AQ584" s="139"/>
      <c r="AR584" s="139"/>
      <c r="AS584" s="139"/>
      <c r="AT584" s="139"/>
      <c r="AU584" s="139"/>
      <c r="AV584" s="139"/>
      <c r="AW584" s="139"/>
      <c r="AX584" s="139"/>
      <c r="AY584" s="139"/>
      <c r="AZ584" s="139"/>
      <c r="BA584" s="139"/>
      <c r="BB584" s="139"/>
      <c r="BC584" s="139"/>
      <c r="BD584" s="139"/>
      <c r="BE584" s="139"/>
      <c r="BF584" s="139"/>
      <c r="BG584" s="139"/>
      <c r="BH584" s="139"/>
      <c r="BI584" s="139"/>
      <c r="BJ584" s="139"/>
      <c r="BK584" s="139"/>
      <c r="BL584" s="139"/>
      <c r="BM584" s="139"/>
      <c r="BN584" s="139"/>
      <c r="BO584" s="139"/>
      <c r="BP584" s="139"/>
      <c r="BQ584" s="139"/>
      <c r="BR584" s="139"/>
      <c r="BS584" s="139"/>
      <c r="BT584" s="139"/>
      <c r="BU584" s="139"/>
      <c r="BV584" s="139"/>
      <c r="BW584" s="139"/>
      <c r="BX584" s="139"/>
      <c r="BY584" s="139"/>
      <c r="BZ584" s="139"/>
      <c r="CA584" s="139"/>
      <c r="CB584" s="139"/>
      <c r="CC584" s="139"/>
      <c r="CD584" s="139"/>
      <c r="CE584" s="139"/>
      <c r="CF584" s="139"/>
      <c r="CG584" s="139"/>
      <c r="CH584" s="139"/>
      <c r="CI584" s="139"/>
      <c r="CJ584" s="139"/>
      <c r="CK584" s="139"/>
    </row>
    <row r="585" spans="1:89">
      <c r="A585" s="160"/>
      <c r="B585" s="129">
        <v>576</v>
      </c>
      <c r="C585" s="143" t="s">
        <v>476</v>
      </c>
      <c r="D585" s="123" t="s">
        <v>6</v>
      </c>
      <c r="E585" s="204">
        <v>570</v>
      </c>
      <c r="F585" s="147">
        <f>F596*2.5</f>
        <v>62.875</v>
      </c>
      <c r="G585" s="147">
        <v>1</v>
      </c>
      <c r="H585" s="147"/>
      <c r="I585" s="205">
        <f t="shared" si="140"/>
        <v>0.1</v>
      </c>
      <c r="J585" s="147">
        <f t="shared" si="141"/>
        <v>62.875</v>
      </c>
      <c r="K585" s="147">
        <f t="shared" si="142"/>
        <v>0</v>
      </c>
      <c r="L585" s="147">
        <f t="shared" si="143"/>
        <v>6.2875000000000005</v>
      </c>
      <c r="M585" s="147">
        <f t="shared" si="144"/>
        <v>69.162499999999994</v>
      </c>
      <c r="CD585" s="104"/>
      <c r="CE585" s="104"/>
      <c r="CF585" s="104"/>
      <c r="CG585" s="104"/>
      <c r="CH585" s="104"/>
      <c r="CI585" s="104"/>
      <c r="CJ585" s="104"/>
      <c r="CK585" s="104"/>
    </row>
    <row r="586" spans="1:89">
      <c r="A586" s="160"/>
      <c r="B586" s="129">
        <v>577</v>
      </c>
      <c r="C586" s="157" t="s">
        <v>399</v>
      </c>
      <c r="D586" s="123" t="s">
        <v>6</v>
      </c>
      <c r="E586" s="204">
        <v>249</v>
      </c>
      <c r="F586" s="147">
        <v>25.2</v>
      </c>
      <c r="G586" s="147">
        <v>1.2</v>
      </c>
      <c r="H586" s="147"/>
      <c r="I586" s="205">
        <f t="shared" si="140"/>
        <v>0.12</v>
      </c>
      <c r="J586" s="147">
        <f t="shared" si="141"/>
        <v>30.24</v>
      </c>
      <c r="K586" s="147">
        <f t="shared" si="142"/>
        <v>0</v>
      </c>
      <c r="L586" s="147">
        <f t="shared" si="143"/>
        <v>3.024</v>
      </c>
      <c r="M586" s="147">
        <f t="shared" si="144"/>
        <v>33.263999999999996</v>
      </c>
      <c r="CD586" s="104"/>
      <c r="CE586" s="104"/>
      <c r="CF586" s="104"/>
      <c r="CG586" s="104"/>
      <c r="CH586" s="104"/>
      <c r="CI586" s="104"/>
      <c r="CJ586" s="104"/>
      <c r="CK586" s="104"/>
    </row>
    <row r="587" spans="1:89">
      <c r="A587" s="104"/>
      <c r="B587" s="129">
        <v>578</v>
      </c>
      <c r="C587" s="131" t="s">
        <v>400</v>
      </c>
      <c r="D587" s="123" t="s">
        <v>6</v>
      </c>
      <c r="E587" s="204"/>
      <c r="F587" s="147">
        <v>25.2</v>
      </c>
      <c r="G587" s="147">
        <v>0.85</v>
      </c>
      <c r="H587" s="147"/>
      <c r="I587" s="205">
        <f t="shared" si="140"/>
        <v>8.5000000000000006E-2</v>
      </c>
      <c r="J587" s="147">
        <f t="shared" si="141"/>
        <v>21.419999999999998</v>
      </c>
      <c r="K587" s="147">
        <f t="shared" si="142"/>
        <v>0</v>
      </c>
      <c r="L587" s="147">
        <f t="shared" si="143"/>
        <v>2.1419999999999999</v>
      </c>
      <c r="M587" s="147">
        <f t="shared" si="144"/>
        <v>23.561999999999998</v>
      </c>
      <c r="CD587" s="104"/>
      <c r="CE587" s="104"/>
      <c r="CF587" s="104"/>
      <c r="CG587" s="104"/>
      <c r="CH587" s="104"/>
      <c r="CI587" s="104"/>
      <c r="CJ587" s="104"/>
      <c r="CK587" s="104"/>
    </row>
    <row r="588" spans="1:89" s="112" customFormat="1">
      <c r="B588" s="129">
        <v>579</v>
      </c>
      <c r="C588" s="106" t="s">
        <v>391</v>
      </c>
      <c r="D588" s="124" t="s">
        <v>502</v>
      </c>
      <c r="E588" s="117"/>
      <c r="F588" s="205">
        <v>1</v>
      </c>
      <c r="G588" s="205"/>
      <c r="H588" s="205">
        <v>5.17</v>
      </c>
      <c r="I588" s="205">
        <f t="shared" si="140"/>
        <v>0.15509999999999999</v>
      </c>
      <c r="J588" s="147">
        <f t="shared" si="141"/>
        <v>0</v>
      </c>
      <c r="K588" s="147">
        <f t="shared" si="142"/>
        <v>5.17</v>
      </c>
      <c r="L588" s="147">
        <f t="shared" si="143"/>
        <v>0.15509999999999999</v>
      </c>
      <c r="M588" s="147">
        <f t="shared" si="144"/>
        <v>5.3250999999999999</v>
      </c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3"/>
      <c r="AC588" s="113"/>
      <c r="AD588" s="113"/>
      <c r="AE588" s="113"/>
      <c r="AF588" s="113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113"/>
      <c r="AS588" s="113"/>
      <c r="AT588" s="113"/>
      <c r="AU588" s="113"/>
      <c r="AV588" s="113"/>
      <c r="AW588" s="113"/>
      <c r="AX588" s="113"/>
      <c r="AY588" s="113"/>
      <c r="AZ588" s="113"/>
      <c r="BA588" s="113"/>
      <c r="BB588" s="113"/>
      <c r="BC588" s="113"/>
      <c r="BD588" s="113"/>
      <c r="BE588" s="113"/>
      <c r="BF588" s="113"/>
      <c r="BG588" s="113"/>
      <c r="BH588" s="113"/>
      <c r="BI588" s="113"/>
      <c r="BJ588" s="113"/>
      <c r="BK588" s="113"/>
      <c r="BL588" s="113"/>
      <c r="BM588" s="113"/>
      <c r="BN588" s="113"/>
      <c r="BO588" s="113"/>
      <c r="BP588" s="113"/>
      <c r="BQ588" s="113"/>
      <c r="BR588" s="113"/>
      <c r="BS588" s="113"/>
      <c r="BT588" s="113"/>
      <c r="BU588" s="113"/>
      <c r="BV588" s="113"/>
      <c r="BW588" s="113"/>
      <c r="BX588" s="113"/>
      <c r="BY588" s="113"/>
      <c r="BZ588" s="113"/>
      <c r="CA588" s="113"/>
      <c r="CB588" s="113"/>
      <c r="CC588" s="113"/>
      <c r="CD588" s="113"/>
      <c r="CE588" s="113"/>
      <c r="CF588" s="113"/>
      <c r="CG588" s="113"/>
      <c r="CH588" s="113"/>
      <c r="CI588" s="113"/>
      <c r="CJ588" s="113"/>
      <c r="CK588" s="113"/>
    </row>
    <row r="589" spans="1:89" s="112" customFormat="1">
      <c r="A589" s="162"/>
      <c r="B589" s="129">
        <v>580</v>
      </c>
      <c r="C589" s="106" t="s">
        <v>108</v>
      </c>
      <c r="D589" s="124" t="s">
        <v>47</v>
      </c>
      <c r="E589" s="210">
        <v>200</v>
      </c>
      <c r="F589" s="205">
        <f>1.5*(F586+F585)</f>
        <v>132.11250000000001</v>
      </c>
      <c r="G589" s="205"/>
      <c r="H589" s="205">
        <v>0.6</v>
      </c>
      <c r="I589" s="205">
        <f t="shared" si="140"/>
        <v>1.7999999999999999E-2</v>
      </c>
      <c r="J589" s="147">
        <f t="shared" si="141"/>
        <v>0</v>
      </c>
      <c r="K589" s="147">
        <f t="shared" si="142"/>
        <v>79.267499999999998</v>
      </c>
      <c r="L589" s="147">
        <f t="shared" si="143"/>
        <v>2.3780250000000001</v>
      </c>
      <c r="M589" s="147">
        <f t="shared" si="144"/>
        <v>81.645524999999992</v>
      </c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  <c r="AA589" s="113"/>
      <c r="AB589" s="113"/>
      <c r="AC589" s="113"/>
      <c r="AD589" s="113"/>
      <c r="AE589" s="113"/>
      <c r="AF589" s="113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113"/>
      <c r="AS589" s="113"/>
      <c r="AT589" s="113"/>
      <c r="AU589" s="113"/>
      <c r="AV589" s="113"/>
      <c r="AW589" s="113"/>
      <c r="AX589" s="113"/>
      <c r="AY589" s="113"/>
      <c r="AZ589" s="113"/>
      <c r="BA589" s="113"/>
      <c r="BB589" s="113"/>
      <c r="BC589" s="113"/>
      <c r="BD589" s="113"/>
      <c r="BE589" s="113"/>
      <c r="BF589" s="113"/>
      <c r="BG589" s="113"/>
      <c r="BH589" s="113"/>
      <c r="BI589" s="113"/>
      <c r="BJ589" s="113"/>
      <c r="BK589" s="113"/>
      <c r="BL589" s="113"/>
      <c r="BM589" s="113"/>
      <c r="BN589" s="113"/>
      <c r="BO589" s="113"/>
      <c r="BP589" s="113"/>
      <c r="BQ589" s="113"/>
      <c r="BR589" s="113"/>
      <c r="BS589" s="113"/>
      <c r="BT589" s="113"/>
      <c r="BU589" s="113"/>
      <c r="BV589" s="113"/>
      <c r="BW589" s="113"/>
      <c r="BX589" s="113"/>
      <c r="BY589" s="113"/>
      <c r="BZ589" s="113"/>
      <c r="CA589" s="113"/>
      <c r="CB589" s="113"/>
      <c r="CC589" s="113"/>
      <c r="CD589" s="113"/>
      <c r="CE589" s="113"/>
      <c r="CF589" s="113"/>
      <c r="CG589" s="113"/>
      <c r="CH589" s="113"/>
      <c r="CI589" s="113"/>
      <c r="CJ589" s="113"/>
      <c r="CK589" s="113"/>
    </row>
    <row r="590" spans="1:89" s="112" customFormat="1">
      <c r="A590" s="162"/>
      <c r="B590" s="129">
        <v>581</v>
      </c>
      <c r="C590" s="106" t="s">
        <v>110</v>
      </c>
      <c r="D590" s="124" t="s">
        <v>47</v>
      </c>
      <c r="E590" s="210">
        <v>382</v>
      </c>
      <c r="F590" s="205">
        <v>3</v>
      </c>
      <c r="G590" s="205"/>
      <c r="H590" s="205">
        <v>1.59</v>
      </c>
      <c r="I590" s="205">
        <f t="shared" si="140"/>
        <v>4.7699999999999999E-2</v>
      </c>
      <c r="J590" s="147">
        <f t="shared" si="141"/>
        <v>0</v>
      </c>
      <c r="K590" s="147">
        <f t="shared" si="142"/>
        <v>4.7700000000000005</v>
      </c>
      <c r="L590" s="147">
        <f t="shared" si="143"/>
        <v>0.1431</v>
      </c>
      <c r="M590" s="147">
        <f t="shared" si="144"/>
        <v>4.9131</v>
      </c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113"/>
      <c r="AS590" s="113"/>
      <c r="AT590" s="113"/>
      <c r="AU590" s="113"/>
      <c r="AV590" s="113"/>
      <c r="AW590" s="113"/>
      <c r="AX590" s="113"/>
      <c r="AY590" s="113"/>
      <c r="AZ590" s="113"/>
      <c r="BA590" s="113"/>
      <c r="BB590" s="113"/>
      <c r="BC590" s="113"/>
      <c r="BD590" s="113"/>
      <c r="BE590" s="113"/>
      <c r="BF590" s="113"/>
      <c r="BG590" s="113"/>
      <c r="BH590" s="113"/>
      <c r="BI590" s="113"/>
      <c r="BJ590" s="113"/>
      <c r="BK590" s="113"/>
      <c r="BL590" s="113"/>
      <c r="BM590" s="113"/>
      <c r="BN590" s="113"/>
      <c r="BO590" s="113"/>
      <c r="BP590" s="113"/>
      <c r="BQ590" s="113"/>
      <c r="BR590" s="113"/>
      <c r="BS590" s="113"/>
      <c r="BT590" s="113"/>
      <c r="BU590" s="113"/>
      <c r="BV590" s="113"/>
      <c r="BW590" s="113"/>
      <c r="BX590" s="113"/>
      <c r="BY590" s="113"/>
      <c r="BZ590" s="113"/>
      <c r="CA590" s="113"/>
      <c r="CB590" s="113"/>
      <c r="CC590" s="113"/>
      <c r="CD590" s="113"/>
      <c r="CE590" s="113"/>
      <c r="CF590" s="113"/>
      <c r="CG590" s="113"/>
      <c r="CH590" s="113"/>
      <c r="CI590" s="113"/>
      <c r="CJ590" s="113"/>
      <c r="CK590" s="113"/>
    </row>
    <row r="591" spans="1:89">
      <c r="A591" s="160"/>
      <c r="B591" s="129">
        <v>582</v>
      </c>
      <c r="C591" s="109" t="s">
        <v>511</v>
      </c>
      <c r="D591" s="123" t="s">
        <v>6</v>
      </c>
      <c r="E591" s="204">
        <v>155.5</v>
      </c>
      <c r="F591" s="147">
        <v>25.2</v>
      </c>
      <c r="G591" s="147">
        <v>10.4</v>
      </c>
      <c r="H591" s="147"/>
      <c r="I591" s="205">
        <f t="shared" si="140"/>
        <v>1.04</v>
      </c>
      <c r="J591" s="147">
        <f t="shared" si="141"/>
        <v>262.08</v>
      </c>
      <c r="K591" s="147">
        <f t="shared" si="142"/>
        <v>0</v>
      </c>
      <c r="L591" s="147">
        <f t="shared" si="143"/>
        <v>26.207999999999998</v>
      </c>
      <c r="M591" s="147">
        <f t="shared" si="144"/>
        <v>288.28800000000001</v>
      </c>
      <c r="CD591" s="104"/>
      <c r="CE591" s="104"/>
      <c r="CF591" s="104"/>
      <c r="CG591" s="104"/>
      <c r="CH591" s="104"/>
      <c r="CI591" s="104"/>
      <c r="CJ591" s="104"/>
      <c r="CK591" s="104"/>
    </row>
    <row r="592" spans="1:89" ht="12.75" customHeight="1">
      <c r="B592" s="129">
        <v>583</v>
      </c>
      <c r="C592" s="106" t="s">
        <v>395</v>
      </c>
      <c r="D592" s="123" t="s">
        <v>6</v>
      </c>
      <c r="E592" s="129"/>
      <c r="F592" s="147">
        <f>1.1*F591</f>
        <v>27.720000000000002</v>
      </c>
      <c r="G592" s="147"/>
      <c r="H592" s="147">
        <v>0.25</v>
      </c>
      <c r="I592" s="205">
        <f t="shared" si="140"/>
        <v>7.4999999999999997E-3</v>
      </c>
      <c r="J592" s="147">
        <f t="shared" si="141"/>
        <v>0</v>
      </c>
      <c r="K592" s="147">
        <f t="shared" si="142"/>
        <v>6.9300000000000006</v>
      </c>
      <c r="L592" s="147">
        <f t="shared" si="143"/>
        <v>0.2079</v>
      </c>
      <c r="M592" s="147">
        <f t="shared" si="144"/>
        <v>7.137900000000001</v>
      </c>
      <c r="CD592" s="104"/>
      <c r="CE592" s="104"/>
      <c r="CF592" s="104"/>
      <c r="CG592" s="104"/>
      <c r="CH592" s="104"/>
      <c r="CI592" s="104"/>
      <c r="CJ592" s="104"/>
      <c r="CK592" s="104"/>
    </row>
    <row r="593" spans="1:89">
      <c r="B593" s="129">
        <v>584</v>
      </c>
      <c r="C593" s="106" t="s">
        <v>434</v>
      </c>
      <c r="D593" s="123" t="s">
        <v>6</v>
      </c>
      <c r="E593" s="129"/>
      <c r="F593" s="147">
        <f>1.05*F591</f>
        <v>26.46</v>
      </c>
      <c r="G593" s="147"/>
      <c r="H593" s="147">
        <v>4.8</v>
      </c>
      <c r="I593" s="205">
        <f t="shared" si="140"/>
        <v>0.14399999999999999</v>
      </c>
      <c r="J593" s="147">
        <f t="shared" si="141"/>
        <v>0</v>
      </c>
      <c r="K593" s="147">
        <f t="shared" si="142"/>
        <v>127.008</v>
      </c>
      <c r="L593" s="147">
        <f t="shared" si="143"/>
        <v>3.8102399999999998</v>
      </c>
      <c r="M593" s="147">
        <f t="shared" si="144"/>
        <v>130.81824</v>
      </c>
      <c r="CD593" s="104"/>
      <c r="CE593" s="104"/>
      <c r="CF593" s="104"/>
      <c r="CG593" s="104"/>
      <c r="CH593" s="104"/>
      <c r="CI593" s="104"/>
      <c r="CJ593" s="104"/>
      <c r="CK593" s="104"/>
    </row>
    <row r="594" spans="1:89">
      <c r="A594" s="160"/>
      <c r="B594" s="129">
        <v>585</v>
      </c>
      <c r="C594" s="131" t="s">
        <v>111</v>
      </c>
      <c r="D594" s="123" t="s">
        <v>6</v>
      </c>
      <c r="E594" s="204">
        <v>400</v>
      </c>
      <c r="F594" s="147"/>
      <c r="G594" s="147">
        <v>0.8</v>
      </c>
      <c r="H594" s="147"/>
      <c r="I594" s="205">
        <f t="shared" si="140"/>
        <v>8.0000000000000016E-2</v>
      </c>
      <c r="J594" s="147">
        <f t="shared" si="141"/>
        <v>0</v>
      </c>
      <c r="K594" s="147">
        <f t="shared" si="142"/>
        <v>0</v>
      </c>
      <c r="L594" s="147">
        <f t="shared" si="143"/>
        <v>0</v>
      </c>
      <c r="M594" s="147">
        <f t="shared" si="144"/>
        <v>0</v>
      </c>
      <c r="CD594" s="104"/>
      <c r="CE594" s="104"/>
      <c r="CF594" s="104"/>
      <c r="CG594" s="104"/>
      <c r="CH594" s="104"/>
      <c r="CI594" s="104"/>
      <c r="CJ594" s="104"/>
      <c r="CK594" s="104"/>
    </row>
    <row r="595" spans="1:89" s="112" customFormat="1">
      <c r="A595" s="162"/>
      <c r="B595" s="129">
        <v>586</v>
      </c>
      <c r="C595" s="106" t="s">
        <v>225</v>
      </c>
      <c r="D595" s="124" t="s">
        <v>6</v>
      </c>
      <c r="E595" s="210">
        <v>400</v>
      </c>
      <c r="F595" s="205"/>
      <c r="G595" s="205"/>
      <c r="H595" s="205">
        <v>0.37</v>
      </c>
      <c r="I595" s="205">
        <f t="shared" si="140"/>
        <v>1.1099999999999999E-2</v>
      </c>
      <c r="J595" s="147">
        <f t="shared" si="141"/>
        <v>0</v>
      </c>
      <c r="K595" s="147">
        <f t="shared" si="142"/>
        <v>0</v>
      </c>
      <c r="L595" s="147">
        <f t="shared" si="143"/>
        <v>0</v>
      </c>
      <c r="M595" s="147">
        <f t="shared" si="144"/>
        <v>0</v>
      </c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3"/>
      <c r="AC595" s="113"/>
      <c r="AD595" s="113"/>
      <c r="AE595" s="113"/>
      <c r="AF595" s="113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113"/>
      <c r="AS595" s="113"/>
      <c r="AT595" s="113"/>
      <c r="AU595" s="113"/>
      <c r="AV595" s="113"/>
      <c r="AW595" s="113"/>
      <c r="AX595" s="113"/>
      <c r="AY595" s="113"/>
      <c r="AZ595" s="113"/>
      <c r="BA595" s="113"/>
      <c r="BB595" s="113"/>
      <c r="BC595" s="113"/>
      <c r="BD595" s="113"/>
      <c r="BE595" s="113"/>
      <c r="BF595" s="113"/>
      <c r="BG595" s="113"/>
      <c r="BH595" s="113"/>
      <c r="BI595" s="113"/>
      <c r="BJ595" s="113"/>
      <c r="BK595" s="113"/>
      <c r="BL595" s="113"/>
      <c r="BM595" s="113"/>
      <c r="BN595" s="113"/>
      <c r="BO595" s="113"/>
      <c r="BP595" s="113"/>
      <c r="BQ595" s="113"/>
      <c r="BR595" s="113"/>
      <c r="BS595" s="113"/>
      <c r="BT595" s="113"/>
      <c r="BU595" s="113"/>
      <c r="BV595" s="113"/>
      <c r="BW595" s="113"/>
      <c r="BX595" s="113"/>
      <c r="BY595" s="113"/>
      <c r="BZ595" s="113"/>
      <c r="CA595" s="113"/>
      <c r="CB595" s="113"/>
      <c r="CC595" s="113"/>
      <c r="CD595" s="113"/>
      <c r="CE595" s="113"/>
      <c r="CF595" s="113"/>
      <c r="CG595" s="113"/>
      <c r="CH595" s="113"/>
      <c r="CI595" s="113"/>
      <c r="CJ595" s="113"/>
      <c r="CK595" s="113"/>
    </row>
    <row r="596" spans="1:89">
      <c r="A596" s="160"/>
      <c r="B596" s="129">
        <v>587</v>
      </c>
      <c r="C596" s="131" t="s">
        <v>120</v>
      </c>
      <c r="D596" s="123" t="s">
        <v>114</v>
      </c>
      <c r="E596" s="204">
        <v>252</v>
      </c>
      <c r="F596" s="147">
        <v>25.15</v>
      </c>
      <c r="G596" s="147">
        <v>1.1000000000000001</v>
      </c>
      <c r="H596" s="147"/>
      <c r="I596" s="205">
        <f t="shared" si="140"/>
        <v>0.11000000000000001</v>
      </c>
      <c r="J596" s="147">
        <f t="shared" si="141"/>
        <v>27.664999999999999</v>
      </c>
      <c r="K596" s="147">
        <f t="shared" si="142"/>
        <v>0</v>
      </c>
      <c r="L596" s="147">
        <f t="shared" si="143"/>
        <v>2.7665000000000002</v>
      </c>
      <c r="M596" s="147">
        <f t="shared" si="144"/>
        <v>30.4315</v>
      </c>
      <c r="CD596" s="104"/>
      <c r="CE596" s="104"/>
      <c r="CF596" s="104"/>
      <c r="CG596" s="104"/>
      <c r="CH596" s="104"/>
      <c r="CI596" s="104"/>
      <c r="CJ596" s="104"/>
      <c r="CK596" s="104"/>
    </row>
    <row r="597" spans="1:89" s="112" customFormat="1">
      <c r="A597" s="162"/>
      <c r="B597" s="129">
        <v>588</v>
      </c>
      <c r="C597" s="106" t="s">
        <v>121</v>
      </c>
      <c r="D597" s="124" t="s">
        <v>114</v>
      </c>
      <c r="E597" s="210">
        <f>(5.495+4.58)*2</f>
        <v>20.149999999999999</v>
      </c>
      <c r="F597" s="205">
        <v>20.149999999999999</v>
      </c>
      <c r="G597" s="205"/>
      <c r="H597" s="205">
        <v>1.85</v>
      </c>
      <c r="I597" s="205">
        <f t="shared" si="140"/>
        <v>5.5500000000000001E-2</v>
      </c>
      <c r="J597" s="147">
        <f t="shared" si="141"/>
        <v>0</v>
      </c>
      <c r="K597" s="147">
        <f t="shared" si="142"/>
        <v>37.277499999999996</v>
      </c>
      <c r="L597" s="147">
        <f t="shared" si="143"/>
        <v>1.118325</v>
      </c>
      <c r="M597" s="147">
        <f t="shared" si="144"/>
        <v>38.395824999999995</v>
      </c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113"/>
      <c r="AS597" s="113"/>
      <c r="AT597" s="113"/>
      <c r="AU597" s="113"/>
      <c r="AV597" s="113"/>
      <c r="AW597" s="113"/>
      <c r="AX597" s="113"/>
      <c r="AY597" s="113"/>
      <c r="AZ597" s="113"/>
      <c r="BA597" s="113"/>
      <c r="BB597" s="113"/>
      <c r="BC597" s="113"/>
      <c r="BD597" s="113"/>
      <c r="BE597" s="113"/>
      <c r="BF597" s="113"/>
      <c r="BG597" s="113"/>
      <c r="BH597" s="113"/>
      <c r="BI597" s="113"/>
      <c r="BJ597" s="113"/>
      <c r="BK597" s="113"/>
      <c r="BL597" s="113"/>
      <c r="BM597" s="113"/>
      <c r="BN597" s="113"/>
      <c r="BO597" s="113"/>
      <c r="BP597" s="113"/>
      <c r="BQ597" s="113"/>
      <c r="BR597" s="113"/>
      <c r="BS597" s="113"/>
      <c r="BT597" s="113"/>
      <c r="BU597" s="113"/>
      <c r="BV597" s="113"/>
      <c r="BW597" s="113"/>
      <c r="BX597" s="113"/>
      <c r="BY597" s="113"/>
      <c r="BZ597" s="113"/>
      <c r="CA597" s="113"/>
      <c r="CB597" s="113"/>
      <c r="CC597" s="113"/>
      <c r="CD597" s="113"/>
      <c r="CE597" s="113"/>
      <c r="CF597" s="113"/>
      <c r="CG597" s="113"/>
      <c r="CH597" s="113"/>
      <c r="CI597" s="113"/>
      <c r="CJ597" s="113"/>
      <c r="CK597" s="113"/>
    </row>
    <row r="598" spans="1:89" s="112" customFormat="1">
      <c r="A598" s="162"/>
      <c r="B598" s="129">
        <v>589</v>
      </c>
      <c r="C598" s="106" t="s">
        <v>122</v>
      </c>
      <c r="D598" s="124" t="s">
        <v>114</v>
      </c>
      <c r="E598" s="210">
        <v>90</v>
      </c>
      <c r="F598" s="205">
        <v>5</v>
      </c>
      <c r="G598" s="205"/>
      <c r="H598" s="205">
        <v>1.85</v>
      </c>
      <c r="I598" s="205">
        <f t="shared" si="140"/>
        <v>5.5500000000000001E-2</v>
      </c>
      <c r="J598" s="147">
        <f t="shared" si="141"/>
        <v>0</v>
      </c>
      <c r="K598" s="147">
        <f t="shared" si="142"/>
        <v>9.25</v>
      </c>
      <c r="L598" s="147">
        <f t="shared" si="143"/>
        <v>0.27750000000000002</v>
      </c>
      <c r="M598" s="147">
        <f t="shared" si="144"/>
        <v>9.5274999999999999</v>
      </c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113"/>
      <c r="AS598" s="113"/>
      <c r="AT598" s="113"/>
      <c r="AU598" s="113"/>
      <c r="AV598" s="113"/>
      <c r="AW598" s="113"/>
      <c r="AX598" s="113"/>
      <c r="AY598" s="113"/>
      <c r="AZ598" s="113"/>
      <c r="BA598" s="113"/>
      <c r="BB598" s="113"/>
      <c r="BC598" s="113"/>
      <c r="BD598" s="113"/>
      <c r="BE598" s="113"/>
      <c r="BF598" s="113"/>
      <c r="BG598" s="113"/>
      <c r="BH598" s="113"/>
      <c r="BI598" s="113"/>
      <c r="BJ598" s="113"/>
      <c r="BK598" s="113"/>
      <c r="BL598" s="113"/>
      <c r="BM598" s="113"/>
      <c r="BN598" s="113"/>
      <c r="BO598" s="113"/>
      <c r="BP598" s="113"/>
      <c r="BQ598" s="113"/>
      <c r="BR598" s="113"/>
      <c r="BS598" s="113"/>
      <c r="BT598" s="113"/>
      <c r="BU598" s="113"/>
      <c r="BV598" s="113"/>
      <c r="BW598" s="113"/>
      <c r="BX598" s="113"/>
      <c r="BY598" s="113"/>
      <c r="BZ598" s="113"/>
      <c r="CA598" s="113"/>
      <c r="CB598" s="113"/>
      <c r="CC598" s="113"/>
      <c r="CD598" s="113"/>
      <c r="CE598" s="113"/>
      <c r="CF598" s="113"/>
      <c r="CG598" s="113"/>
      <c r="CH598" s="113"/>
      <c r="CI598" s="113"/>
      <c r="CJ598" s="113"/>
      <c r="CK598" s="113"/>
    </row>
    <row r="599" spans="1:89" s="112" customFormat="1">
      <c r="A599" s="162"/>
      <c r="B599" s="129">
        <v>590</v>
      </c>
      <c r="C599" s="106" t="s">
        <v>39</v>
      </c>
      <c r="D599" s="124" t="s">
        <v>83</v>
      </c>
      <c r="E599" s="210">
        <v>252</v>
      </c>
      <c r="F599" s="205">
        <v>42</v>
      </c>
      <c r="G599" s="205"/>
      <c r="H599" s="205">
        <v>0.44</v>
      </c>
      <c r="I599" s="205">
        <f t="shared" si="140"/>
        <v>1.32E-2</v>
      </c>
      <c r="J599" s="147">
        <f t="shared" si="141"/>
        <v>0</v>
      </c>
      <c r="K599" s="147">
        <f t="shared" si="142"/>
        <v>18.48</v>
      </c>
      <c r="L599" s="147">
        <f t="shared" si="143"/>
        <v>0.5544</v>
      </c>
      <c r="M599" s="147">
        <f t="shared" si="144"/>
        <v>19.034400000000002</v>
      </c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113"/>
      <c r="AS599" s="113"/>
      <c r="AT599" s="113"/>
      <c r="AU599" s="113"/>
      <c r="AV599" s="113"/>
      <c r="AW599" s="113"/>
      <c r="AX599" s="113"/>
      <c r="AY599" s="113"/>
      <c r="AZ599" s="113"/>
      <c r="BA599" s="113"/>
      <c r="BB599" s="113"/>
      <c r="BC599" s="113"/>
      <c r="BD599" s="113"/>
      <c r="BE599" s="113"/>
      <c r="BF599" s="113"/>
      <c r="BG599" s="113"/>
      <c r="BH599" s="113"/>
      <c r="BI599" s="113"/>
      <c r="BJ599" s="113"/>
      <c r="BK599" s="113"/>
      <c r="BL599" s="113"/>
      <c r="BM599" s="113"/>
      <c r="BN599" s="113"/>
      <c r="BO599" s="113"/>
      <c r="BP599" s="113"/>
      <c r="BQ599" s="113"/>
      <c r="BR599" s="113"/>
      <c r="BS599" s="113"/>
      <c r="BT599" s="113"/>
      <c r="BU599" s="113"/>
      <c r="BV599" s="113"/>
      <c r="BW599" s="113"/>
      <c r="BX599" s="113"/>
      <c r="BY599" s="113"/>
      <c r="BZ599" s="113"/>
      <c r="CA599" s="113"/>
      <c r="CB599" s="113"/>
      <c r="CC599" s="113"/>
      <c r="CD599" s="113"/>
      <c r="CE599" s="113"/>
      <c r="CF599" s="113"/>
      <c r="CG599" s="113"/>
      <c r="CH599" s="113"/>
      <c r="CI599" s="113"/>
      <c r="CJ599" s="113"/>
      <c r="CK599" s="113"/>
    </row>
    <row r="600" spans="1:89" s="112" customFormat="1">
      <c r="A600" s="162"/>
      <c r="B600" s="129">
        <v>591</v>
      </c>
      <c r="C600" s="106" t="s">
        <v>119</v>
      </c>
      <c r="D600" s="124" t="s">
        <v>47</v>
      </c>
      <c r="E600" s="210">
        <v>20</v>
      </c>
      <c r="F600" s="205">
        <f>(F596*0.07*0.25)</f>
        <v>0.44012500000000004</v>
      </c>
      <c r="G600" s="205"/>
      <c r="H600" s="205">
        <v>4.87</v>
      </c>
      <c r="I600" s="205">
        <f t="shared" si="140"/>
        <v>0.14610000000000001</v>
      </c>
      <c r="J600" s="147">
        <f t="shared" si="141"/>
        <v>0</v>
      </c>
      <c r="K600" s="147">
        <f t="shared" si="142"/>
        <v>2.1434087500000003</v>
      </c>
      <c r="L600" s="147">
        <f t="shared" si="143"/>
        <v>6.4302262500000013E-2</v>
      </c>
      <c r="M600" s="147">
        <f t="shared" si="144"/>
        <v>2.2077110125000003</v>
      </c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  <c r="AG600" s="113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113"/>
      <c r="AS600" s="113"/>
      <c r="AT600" s="113"/>
      <c r="AU600" s="113"/>
      <c r="AV600" s="113"/>
      <c r="AW600" s="113"/>
      <c r="AX600" s="113"/>
      <c r="AY600" s="113"/>
      <c r="AZ600" s="113"/>
      <c r="BA600" s="113"/>
      <c r="BB600" s="113"/>
      <c r="BC600" s="113"/>
      <c r="BD600" s="113"/>
      <c r="BE600" s="113"/>
      <c r="BF600" s="113"/>
      <c r="BG600" s="113"/>
      <c r="BH600" s="113"/>
      <c r="BI600" s="113"/>
      <c r="BJ600" s="113"/>
      <c r="BK600" s="113"/>
      <c r="BL600" s="113"/>
      <c r="BM600" s="113"/>
      <c r="BN600" s="113"/>
      <c r="BO600" s="113"/>
      <c r="BP600" s="113"/>
      <c r="BQ600" s="113"/>
      <c r="BR600" s="113"/>
      <c r="BS600" s="113"/>
      <c r="BT600" s="113"/>
      <c r="BU600" s="113"/>
      <c r="BV600" s="113"/>
      <c r="BW600" s="113"/>
      <c r="BX600" s="113"/>
      <c r="BY600" s="113"/>
      <c r="BZ600" s="113"/>
      <c r="CA600" s="113"/>
      <c r="CB600" s="113"/>
      <c r="CC600" s="113"/>
      <c r="CD600" s="113"/>
      <c r="CE600" s="113"/>
      <c r="CF600" s="113"/>
      <c r="CG600" s="113"/>
      <c r="CH600" s="113"/>
      <c r="CI600" s="113"/>
      <c r="CJ600" s="113"/>
      <c r="CK600" s="113"/>
    </row>
    <row r="601" spans="1:89" s="140" customFormat="1">
      <c r="A601" s="161"/>
      <c r="B601" s="129">
        <v>592</v>
      </c>
      <c r="C601" s="182" t="s">
        <v>481</v>
      </c>
      <c r="D601" s="137"/>
      <c r="E601" s="209"/>
      <c r="F601" s="206"/>
      <c r="G601" s="206"/>
      <c r="H601" s="206"/>
      <c r="I601" s="206"/>
      <c r="J601" s="147">
        <f t="shared" ref="J601:J617" si="145">F601*G601</f>
        <v>0</v>
      </c>
      <c r="K601" s="147">
        <f t="shared" ref="K601:K617" si="146">F601*H601</f>
        <v>0</v>
      </c>
      <c r="L601" s="147">
        <f t="shared" ref="L601:L617" si="147">F601*I601</f>
        <v>0</v>
      </c>
      <c r="M601" s="147">
        <f t="shared" ref="M601:M617" si="148">J601+K601+L601</f>
        <v>0</v>
      </c>
      <c r="O601" s="139"/>
      <c r="P601" s="139"/>
      <c r="Q601" s="139"/>
      <c r="R601" s="139"/>
      <c r="S601" s="139"/>
      <c r="T601" s="139"/>
      <c r="U601" s="139"/>
      <c r="V601" s="139"/>
      <c r="W601" s="139"/>
      <c r="X601" s="139"/>
      <c r="Y601" s="139"/>
      <c r="Z601" s="139"/>
      <c r="AA601" s="139"/>
      <c r="AB601" s="139"/>
      <c r="AC601" s="139"/>
      <c r="AD601" s="139"/>
      <c r="AE601" s="139"/>
      <c r="AF601" s="139"/>
      <c r="AG601" s="139"/>
      <c r="AH601" s="139"/>
      <c r="AI601" s="139"/>
      <c r="AJ601" s="139"/>
      <c r="AK601" s="139"/>
      <c r="AL601" s="139"/>
      <c r="AM601" s="139"/>
      <c r="AN601" s="139"/>
      <c r="AO601" s="139"/>
      <c r="AP601" s="139"/>
      <c r="AQ601" s="139"/>
      <c r="AR601" s="139"/>
      <c r="AS601" s="139"/>
      <c r="AT601" s="139"/>
      <c r="AU601" s="139"/>
      <c r="AV601" s="139"/>
      <c r="AW601" s="139"/>
      <c r="AX601" s="139"/>
      <c r="AY601" s="139"/>
      <c r="AZ601" s="139"/>
      <c r="BA601" s="139"/>
      <c r="BB601" s="139"/>
      <c r="BC601" s="139"/>
      <c r="BD601" s="139"/>
      <c r="BE601" s="139"/>
      <c r="BF601" s="139"/>
      <c r="BG601" s="139"/>
      <c r="BH601" s="139"/>
      <c r="BI601" s="139"/>
      <c r="BJ601" s="139"/>
      <c r="BK601" s="139"/>
      <c r="BL601" s="139"/>
      <c r="BM601" s="139"/>
      <c r="BN601" s="139"/>
      <c r="BO601" s="139"/>
      <c r="BP601" s="139"/>
      <c r="BQ601" s="139"/>
      <c r="BR601" s="139"/>
      <c r="BS601" s="139"/>
      <c r="BT601" s="139"/>
      <c r="BU601" s="139"/>
      <c r="BV601" s="139"/>
      <c r="BW601" s="139"/>
      <c r="BX601" s="139"/>
      <c r="BY601" s="139"/>
      <c r="BZ601" s="139"/>
      <c r="CA601" s="139"/>
      <c r="CB601" s="139"/>
      <c r="CC601" s="139"/>
      <c r="CD601" s="139"/>
      <c r="CE601" s="139"/>
      <c r="CF601" s="139"/>
      <c r="CG601" s="139"/>
      <c r="CH601" s="139"/>
      <c r="CI601" s="139"/>
      <c r="CJ601" s="139"/>
      <c r="CK601" s="139"/>
    </row>
    <row r="602" spans="1:89">
      <c r="A602" s="160"/>
      <c r="B602" s="129">
        <v>593</v>
      </c>
      <c r="C602" s="143" t="s">
        <v>476</v>
      </c>
      <c r="D602" s="123" t="s">
        <v>6</v>
      </c>
      <c r="E602" s="204">
        <v>570</v>
      </c>
      <c r="F602" s="147">
        <f>F614*2.5</f>
        <v>43.524999999999999</v>
      </c>
      <c r="G602" s="147">
        <v>1</v>
      </c>
      <c r="H602" s="147"/>
      <c r="I602" s="205">
        <f t="shared" si="140"/>
        <v>0.1</v>
      </c>
      <c r="J602" s="147">
        <f t="shared" si="145"/>
        <v>43.524999999999999</v>
      </c>
      <c r="K602" s="147">
        <f t="shared" si="146"/>
        <v>0</v>
      </c>
      <c r="L602" s="147">
        <f t="shared" si="147"/>
        <v>4.3525</v>
      </c>
      <c r="M602" s="147">
        <f t="shared" si="148"/>
        <v>47.877499999999998</v>
      </c>
      <c r="CD602" s="104"/>
      <c r="CE602" s="104"/>
      <c r="CF602" s="104"/>
      <c r="CG602" s="104"/>
      <c r="CH602" s="104"/>
      <c r="CI602" s="104"/>
      <c r="CJ602" s="104"/>
      <c r="CK602" s="104"/>
    </row>
    <row r="603" spans="1:89">
      <c r="A603" s="160"/>
      <c r="B603" s="129">
        <v>594</v>
      </c>
      <c r="C603" s="157" t="s">
        <v>399</v>
      </c>
      <c r="D603" s="123" t="s">
        <v>6</v>
      </c>
      <c r="E603" s="204">
        <v>249</v>
      </c>
      <c r="F603" s="147">
        <v>17.600000000000001</v>
      </c>
      <c r="G603" s="147">
        <v>1.2</v>
      </c>
      <c r="H603" s="147"/>
      <c r="I603" s="205">
        <f t="shared" si="140"/>
        <v>0.12</v>
      </c>
      <c r="J603" s="147">
        <f t="shared" si="145"/>
        <v>21.12</v>
      </c>
      <c r="K603" s="147">
        <f t="shared" si="146"/>
        <v>0</v>
      </c>
      <c r="L603" s="147">
        <f t="shared" si="147"/>
        <v>2.1120000000000001</v>
      </c>
      <c r="M603" s="147">
        <f t="shared" si="148"/>
        <v>23.231999999999999</v>
      </c>
      <c r="CD603" s="104"/>
      <c r="CE603" s="104"/>
      <c r="CF603" s="104"/>
      <c r="CG603" s="104"/>
      <c r="CH603" s="104"/>
      <c r="CI603" s="104"/>
      <c r="CJ603" s="104"/>
      <c r="CK603" s="104"/>
    </row>
    <row r="604" spans="1:89">
      <c r="A604" s="104"/>
      <c r="B604" s="129">
        <v>595</v>
      </c>
      <c r="C604" s="131" t="s">
        <v>400</v>
      </c>
      <c r="D604" s="123" t="s">
        <v>6</v>
      </c>
      <c r="E604" s="204"/>
      <c r="F604" s="147">
        <v>17.600000000000001</v>
      </c>
      <c r="G604" s="147">
        <v>0.85</v>
      </c>
      <c r="H604" s="147"/>
      <c r="I604" s="205">
        <f t="shared" si="140"/>
        <v>8.5000000000000006E-2</v>
      </c>
      <c r="J604" s="147">
        <f t="shared" si="145"/>
        <v>14.96</v>
      </c>
      <c r="K604" s="147">
        <f t="shared" si="146"/>
        <v>0</v>
      </c>
      <c r="L604" s="147">
        <f t="shared" si="147"/>
        <v>1.4960000000000002</v>
      </c>
      <c r="M604" s="147">
        <f t="shared" si="148"/>
        <v>16.456</v>
      </c>
      <c r="CD604" s="104"/>
      <c r="CE604" s="104"/>
      <c r="CF604" s="104"/>
      <c r="CG604" s="104"/>
      <c r="CH604" s="104"/>
      <c r="CI604" s="104"/>
      <c r="CJ604" s="104"/>
      <c r="CK604" s="104"/>
    </row>
    <row r="605" spans="1:89" s="112" customFormat="1">
      <c r="B605" s="129">
        <v>596</v>
      </c>
      <c r="C605" s="106" t="s">
        <v>391</v>
      </c>
      <c r="D605" s="124" t="s">
        <v>502</v>
      </c>
      <c r="E605" s="117"/>
      <c r="F605" s="205">
        <v>1</v>
      </c>
      <c r="G605" s="205"/>
      <c r="H605" s="205">
        <v>5.17</v>
      </c>
      <c r="I605" s="205">
        <f t="shared" si="140"/>
        <v>0.15509999999999999</v>
      </c>
      <c r="J605" s="147">
        <f t="shared" si="145"/>
        <v>0</v>
      </c>
      <c r="K605" s="147">
        <f t="shared" si="146"/>
        <v>5.17</v>
      </c>
      <c r="L605" s="147">
        <f t="shared" si="147"/>
        <v>0.15509999999999999</v>
      </c>
      <c r="M605" s="147">
        <f t="shared" si="148"/>
        <v>5.3250999999999999</v>
      </c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3"/>
      <c r="AC605" s="113"/>
      <c r="AD605" s="113"/>
      <c r="AE605" s="113"/>
      <c r="AF605" s="113"/>
      <c r="AG605" s="113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113"/>
      <c r="AS605" s="113"/>
      <c r="AT605" s="113"/>
      <c r="AU605" s="113"/>
      <c r="AV605" s="113"/>
      <c r="AW605" s="113"/>
      <c r="AX605" s="113"/>
      <c r="AY605" s="113"/>
      <c r="AZ605" s="113"/>
      <c r="BA605" s="113"/>
      <c r="BB605" s="113"/>
      <c r="BC605" s="113"/>
      <c r="BD605" s="113"/>
      <c r="BE605" s="113"/>
      <c r="BF605" s="113"/>
      <c r="BG605" s="113"/>
      <c r="BH605" s="113"/>
      <c r="BI605" s="113"/>
      <c r="BJ605" s="113"/>
      <c r="BK605" s="113"/>
      <c r="BL605" s="113"/>
      <c r="BM605" s="113"/>
      <c r="BN605" s="113"/>
      <c r="BO605" s="113"/>
      <c r="BP605" s="113"/>
      <c r="BQ605" s="113"/>
      <c r="BR605" s="113"/>
      <c r="BS605" s="113"/>
      <c r="BT605" s="113"/>
      <c r="BU605" s="113"/>
      <c r="BV605" s="113"/>
      <c r="BW605" s="113"/>
      <c r="BX605" s="113"/>
      <c r="BY605" s="113"/>
      <c r="BZ605" s="113"/>
      <c r="CA605" s="113"/>
      <c r="CB605" s="113"/>
      <c r="CC605" s="113"/>
      <c r="CD605" s="113"/>
      <c r="CE605" s="113"/>
      <c r="CF605" s="113"/>
      <c r="CG605" s="113"/>
      <c r="CH605" s="113"/>
      <c r="CI605" s="113"/>
      <c r="CJ605" s="113"/>
      <c r="CK605" s="113"/>
    </row>
    <row r="606" spans="1:89" s="112" customFormat="1">
      <c r="A606" s="162"/>
      <c r="B606" s="129">
        <v>597</v>
      </c>
      <c r="C606" s="106" t="s">
        <v>108</v>
      </c>
      <c r="D606" s="124" t="s">
        <v>47</v>
      </c>
      <c r="E606" s="210">
        <v>200</v>
      </c>
      <c r="F606" s="205">
        <f>1.5*(F603+F602)</f>
        <v>91.6875</v>
      </c>
      <c r="G606" s="205"/>
      <c r="H606" s="205">
        <v>0.6</v>
      </c>
      <c r="I606" s="205">
        <f t="shared" si="140"/>
        <v>1.7999999999999999E-2</v>
      </c>
      <c r="J606" s="147">
        <f t="shared" si="145"/>
        <v>0</v>
      </c>
      <c r="K606" s="147">
        <f t="shared" si="146"/>
        <v>55.012499999999996</v>
      </c>
      <c r="L606" s="147">
        <f t="shared" si="147"/>
        <v>1.6503749999999999</v>
      </c>
      <c r="M606" s="147">
        <f t="shared" si="148"/>
        <v>56.662874999999993</v>
      </c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  <c r="AG606" s="113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113"/>
      <c r="AS606" s="113"/>
      <c r="AT606" s="113"/>
      <c r="AU606" s="113"/>
      <c r="AV606" s="113"/>
      <c r="AW606" s="113"/>
      <c r="AX606" s="113"/>
      <c r="AY606" s="113"/>
      <c r="AZ606" s="113"/>
      <c r="BA606" s="113"/>
      <c r="BB606" s="113"/>
      <c r="BC606" s="113"/>
      <c r="BD606" s="113"/>
      <c r="BE606" s="113"/>
      <c r="BF606" s="113"/>
      <c r="BG606" s="113"/>
      <c r="BH606" s="113"/>
      <c r="BI606" s="113"/>
      <c r="BJ606" s="113"/>
      <c r="BK606" s="113"/>
      <c r="BL606" s="113"/>
      <c r="BM606" s="113"/>
      <c r="BN606" s="113"/>
      <c r="BO606" s="113"/>
      <c r="BP606" s="113"/>
      <c r="BQ606" s="113"/>
      <c r="BR606" s="113"/>
      <c r="BS606" s="113"/>
      <c r="BT606" s="113"/>
      <c r="BU606" s="113"/>
      <c r="BV606" s="113"/>
      <c r="BW606" s="113"/>
      <c r="BX606" s="113"/>
      <c r="BY606" s="113"/>
      <c r="BZ606" s="113"/>
      <c r="CA606" s="113"/>
      <c r="CB606" s="113"/>
      <c r="CC606" s="113"/>
      <c r="CD606" s="113"/>
      <c r="CE606" s="113"/>
      <c r="CF606" s="113"/>
      <c r="CG606" s="113"/>
      <c r="CH606" s="113"/>
      <c r="CI606" s="113"/>
      <c r="CJ606" s="113"/>
      <c r="CK606" s="113"/>
    </row>
    <row r="607" spans="1:89" s="112" customFormat="1">
      <c r="A607" s="162"/>
      <c r="B607" s="129">
        <v>598</v>
      </c>
      <c r="C607" s="106" t="s">
        <v>110</v>
      </c>
      <c r="D607" s="124" t="s">
        <v>47</v>
      </c>
      <c r="E607" s="210">
        <v>382</v>
      </c>
      <c r="F607" s="205">
        <v>3</v>
      </c>
      <c r="G607" s="205"/>
      <c r="H607" s="205">
        <v>1.59</v>
      </c>
      <c r="I607" s="205">
        <f t="shared" si="140"/>
        <v>4.7699999999999999E-2</v>
      </c>
      <c r="J607" s="147">
        <f t="shared" si="145"/>
        <v>0</v>
      </c>
      <c r="K607" s="147">
        <f t="shared" si="146"/>
        <v>4.7700000000000005</v>
      </c>
      <c r="L607" s="147">
        <f t="shared" si="147"/>
        <v>0.1431</v>
      </c>
      <c r="M607" s="147">
        <f t="shared" si="148"/>
        <v>4.9131</v>
      </c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113"/>
      <c r="AS607" s="113"/>
      <c r="AT607" s="113"/>
      <c r="AU607" s="113"/>
      <c r="AV607" s="113"/>
      <c r="AW607" s="113"/>
      <c r="AX607" s="113"/>
      <c r="AY607" s="113"/>
      <c r="AZ607" s="113"/>
      <c r="BA607" s="113"/>
      <c r="BB607" s="113"/>
      <c r="BC607" s="113"/>
      <c r="BD607" s="113"/>
      <c r="BE607" s="113"/>
      <c r="BF607" s="113"/>
      <c r="BG607" s="113"/>
      <c r="BH607" s="113"/>
      <c r="BI607" s="113"/>
      <c r="BJ607" s="113"/>
      <c r="BK607" s="113"/>
      <c r="BL607" s="113"/>
      <c r="BM607" s="113"/>
      <c r="BN607" s="113"/>
      <c r="BO607" s="113"/>
      <c r="BP607" s="113"/>
      <c r="BQ607" s="113"/>
      <c r="BR607" s="113"/>
      <c r="BS607" s="113"/>
      <c r="BT607" s="113"/>
      <c r="BU607" s="113"/>
      <c r="BV607" s="113"/>
      <c r="BW607" s="113"/>
      <c r="BX607" s="113"/>
      <c r="BY607" s="113"/>
      <c r="BZ607" s="113"/>
      <c r="CA607" s="113"/>
      <c r="CB607" s="113"/>
      <c r="CC607" s="113"/>
      <c r="CD607" s="113"/>
      <c r="CE607" s="113"/>
      <c r="CF607" s="113"/>
      <c r="CG607" s="113"/>
      <c r="CH607" s="113"/>
      <c r="CI607" s="113"/>
      <c r="CJ607" s="113"/>
      <c r="CK607" s="113"/>
    </row>
    <row r="608" spans="1:89">
      <c r="A608" s="160"/>
      <c r="B608" s="129">
        <v>599</v>
      </c>
      <c r="C608" s="109" t="s">
        <v>511</v>
      </c>
      <c r="D608" s="123" t="s">
        <v>6</v>
      </c>
      <c r="E608" s="204">
        <v>155.5</v>
      </c>
      <c r="F608" s="147">
        <v>17.600000000000001</v>
      </c>
      <c r="G608" s="147">
        <v>10.4</v>
      </c>
      <c r="H608" s="147"/>
      <c r="I608" s="205">
        <f t="shared" si="140"/>
        <v>1.04</v>
      </c>
      <c r="J608" s="147">
        <f t="shared" si="145"/>
        <v>183.04000000000002</v>
      </c>
      <c r="K608" s="147">
        <f t="shared" si="146"/>
        <v>0</v>
      </c>
      <c r="L608" s="147">
        <f t="shared" si="147"/>
        <v>18.304000000000002</v>
      </c>
      <c r="M608" s="147">
        <f t="shared" si="148"/>
        <v>201.34400000000002</v>
      </c>
      <c r="CD608" s="104"/>
      <c r="CE608" s="104"/>
      <c r="CF608" s="104"/>
      <c r="CG608" s="104"/>
      <c r="CH608" s="104"/>
      <c r="CI608" s="104"/>
      <c r="CJ608" s="104"/>
      <c r="CK608" s="104"/>
    </row>
    <row r="609" spans="1:89" ht="12.75" customHeight="1">
      <c r="B609" s="129">
        <v>600</v>
      </c>
      <c r="C609" s="106" t="s">
        <v>395</v>
      </c>
      <c r="D609" s="123" t="s">
        <v>6</v>
      </c>
      <c r="E609" s="129"/>
      <c r="F609" s="147">
        <f>1.1*F608</f>
        <v>19.360000000000003</v>
      </c>
      <c r="G609" s="147"/>
      <c r="H609" s="147">
        <v>0.25</v>
      </c>
      <c r="I609" s="205">
        <f t="shared" si="140"/>
        <v>7.4999999999999997E-3</v>
      </c>
      <c r="J609" s="147">
        <f t="shared" si="145"/>
        <v>0</v>
      </c>
      <c r="K609" s="147">
        <f t="shared" si="146"/>
        <v>4.8400000000000007</v>
      </c>
      <c r="L609" s="147">
        <f t="shared" si="147"/>
        <v>0.14520000000000002</v>
      </c>
      <c r="M609" s="147">
        <f t="shared" si="148"/>
        <v>4.9852000000000007</v>
      </c>
      <c r="CD609" s="104"/>
      <c r="CE609" s="104"/>
      <c r="CF609" s="104"/>
      <c r="CG609" s="104"/>
      <c r="CH609" s="104"/>
      <c r="CI609" s="104"/>
      <c r="CJ609" s="104"/>
      <c r="CK609" s="104"/>
    </row>
    <row r="610" spans="1:89">
      <c r="B610" s="129">
        <v>601</v>
      </c>
      <c r="C610" s="106" t="s">
        <v>434</v>
      </c>
      <c r="D610" s="123" t="s">
        <v>6</v>
      </c>
      <c r="E610" s="129"/>
      <c r="F610" s="147">
        <f>1.05*F608</f>
        <v>18.480000000000004</v>
      </c>
      <c r="G610" s="147"/>
      <c r="H610" s="147">
        <v>4.8</v>
      </c>
      <c r="I610" s="205">
        <f t="shared" si="140"/>
        <v>0.14399999999999999</v>
      </c>
      <c r="J610" s="147">
        <f t="shared" si="145"/>
        <v>0</v>
      </c>
      <c r="K610" s="147">
        <f t="shared" si="146"/>
        <v>88.704000000000022</v>
      </c>
      <c r="L610" s="147">
        <f t="shared" si="147"/>
        <v>2.6611200000000004</v>
      </c>
      <c r="M610" s="147">
        <f t="shared" si="148"/>
        <v>91.365120000000019</v>
      </c>
      <c r="CD610" s="104"/>
      <c r="CE610" s="104"/>
      <c r="CF610" s="104"/>
      <c r="CG610" s="104"/>
      <c r="CH610" s="104"/>
      <c r="CI610" s="104"/>
      <c r="CJ610" s="104"/>
      <c r="CK610" s="104"/>
    </row>
    <row r="611" spans="1:89">
      <c r="A611" s="160"/>
      <c r="B611" s="129">
        <v>602</v>
      </c>
      <c r="C611" s="131" t="s">
        <v>111</v>
      </c>
      <c r="D611" s="123" t="s">
        <v>6</v>
      </c>
      <c r="E611" s="204">
        <v>400</v>
      </c>
      <c r="F611" s="147">
        <v>43.53</v>
      </c>
      <c r="G611" s="147">
        <v>0.85</v>
      </c>
      <c r="H611" s="147"/>
      <c r="I611" s="205">
        <f t="shared" si="140"/>
        <v>8.5000000000000006E-2</v>
      </c>
      <c r="J611" s="147">
        <f t="shared" si="145"/>
        <v>37.000500000000002</v>
      </c>
      <c r="K611" s="147">
        <f t="shared" si="146"/>
        <v>0</v>
      </c>
      <c r="L611" s="147">
        <f t="shared" si="147"/>
        <v>3.7000500000000005</v>
      </c>
      <c r="M611" s="147">
        <f t="shared" si="148"/>
        <v>40.70055</v>
      </c>
      <c r="CD611" s="104"/>
      <c r="CE611" s="104"/>
      <c r="CF611" s="104"/>
      <c r="CG611" s="104"/>
      <c r="CH611" s="104"/>
      <c r="CI611" s="104"/>
      <c r="CJ611" s="104"/>
      <c r="CK611" s="104"/>
    </row>
    <row r="612" spans="1:89" s="112" customFormat="1">
      <c r="A612" s="162"/>
      <c r="B612" s="129">
        <v>603</v>
      </c>
      <c r="C612" s="106" t="s">
        <v>225</v>
      </c>
      <c r="D612" s="124" t="s">
        <v>6</v>
      </c>
      <c r="E612" s="210">
        <v>400</v>
      </c>
      <c r="F612" s="205">
        <f>1.1*F611</f>
        <v>47.883000000000003</v>
      </c>
      <c r="G612" s="205"/>
      <c r="H612" s="205">
        <v>0.37</v>
      </c>
      <c r="I612" s="205">
        <f t="shared" si="140"/>
        <v>1.1099999999999999E-2</v>
      </c>
      <c r="J612" s="147">
        <f t="shared" si="145"/>
        <v>0</v>
      </c>
      <c r="K612" s="147">
        <f t="shared" si="146"/>
        <v>17.716709999999999</v>
      </c>
      <c r="L612" s="147">
        <f t="shared" si="147"/>
        <v>0.53150129999999995</v>
      </c>
      <c r="M612" s="147">
        <f t="shared" si="148"/>
        <v>18.248211299999998</v>
      </c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113"/>
      <c r="AS612" s="113"/>
      <c r="AT612" s="113"/>
      <c r="AU612" s="113"/>
      <c r="AV612" s="113"/>
      <c r="AW612" s="113"/>
      <c r="AX612" s="113"/>
      <c r="AY612" s="113"/>
      <c r="AZ612" s="113"/>
      <c r="BA612" s="113"/>
      <c r="BB612" s="113"/>
      <c r="BC612" s="113"/>
      <c r="BD612" s="113"/>
      <c r="BE612" s="113"/>
      <c r="BF612" s="113"/>
      <c r="BG612" s="113"/>
      <c r="BH612" s="113"/>
      <c r="BI612" s="113"/>
      <c r="BJ612" s="113"/>
      <c r="BK612" s="113"/>
      <c r="BL612" s="113"/>
      <c r="BM612" s="113"/>
      <c r="BN612" s="113"/>
      <c r="BO612" s="113"/>
      <c r="BP612" s="113"/>
      <c r="BQ612" s="113"/>
      <c r="BR612" s="113"/>
      <c r="BS612" s="113"/>
      <c r="BT612" s="113"/>
      <c r="BU612" s="113"/>
      <c r="BV612" s="113"/>
      <c r="BW612" s="113"/>
      <c r="BX612" s="113"/>
      <c r="BY612" s="113"/>
      <c r="BZ612" s="113"/>
      <c r="CA612" s="113"/>
      <c r="CB612" s="113"/>
      <c r="CC612" s="113"/>
      <c r="CD612" s="113"/>
      <c r="CE612" s="113"/>
      <c r="CF612" s="113"/>
      <c r="CG612" s="113"/>
      <c r="CH612" s="113"/>
      <c r="CI612" s="113"/>
      <c r="CJ612" s="113"/>
      <c r="CK612" s="113"/>
    </row>
    <row r="613" spans="1:89">
      <c r="A613" s="160"/>
      <c r="B613" s="129">
        <v>604</v>
      </c>
      <c r="C613" s="131" t="s">
        <v>120</v>
      </c>
      <c r="D613" s="123" t="s">
        <v>114</v>
      </c>
      <c r="E613" s="204">
        <v>252</v>
      </c>
      <c r="F613" s="147">
        <v>22.41</v>
      </c>
      <c r="G613" s="147">
        <v>1.1000000000000001</v>
      </c>
      <c r="H613" s="147"/>
      <c r="I613" s="205">
        <f t="shared" si="140"/>
        <v>0.11000000000000001</v>
      </c>
      <c r="J613" s="147">
        <f t="shared" si="145"/>
        <v>24.651000000000003</v>
      </c>
      <c r="K613" s="147">
        <f t="shared" si="146"/>
        <v>0</v>
      </c>
      <c r="L613" s="147">
        <f t="shared" si="147"/>
        <v>2.4651000000000005</v>
      </c>
      <c r="M613" s="147">
        <f t="shared" si="148"/>
        <v>27.116100000000003</v>
      </c>
      <c r="CD613" s="104"/>
      <c r="CE613" s="104"/>
      <c r="CF613" s="104"/>
      <c r="CG613" s="104"/>
      <c r="CH613" s="104"/>
      <c r="CI613" s="104"/>
      <c r="CJ613" s="104"/>
      <c r="CK613" s="104"/>
    </row>
    <row r="614" spans="1:89" s="112" customFormat="1">
      <c r="A614" s="162"/>
      <c r="B614" s="129">
        <v>605</v>
      </c>
      <c r="C614" s="106" t="s">
        <v>121</v>
      </c>
      <c r="D614" s="124" t="s">
        <v>114</v>
      </c>
      <c r="E614" s="210">
        <v>162</v>
      </c>
      <c r="F614" s="205">
        <f>(5.515+3.19)*2</f>
        <v>17.41</v>
      </c>
      <c r="G614" s="205"/>
      <c r="H614" s="205">
        <v>1.85</v>
      </c>
      <c r="I614" s="205">
        <f t="shared" si="140"/>
        <v>5.5500000000000001E-2</v>
      </c>
      <c r="J614" s="147">
        <f t="shared" si="145"/>
        <v>0</v>
      </c>
      <c r="K614" s="147">
        <f t="shared" si="146"/>
        <v>32.208500000000001</v>
      </c>
      <c r="L614" s="147">
        <f t="shared" si="147"/>
        <v>0.96625499999999998</v>
      </c>
      <c r="M614" s="147">
        <f t="shared" si="148"/>
        <v>33.174754999999998</v>
      </c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113"/>
      <c r="AS614" s="113"/>
      <c r="AT614" s="113"/>
      <c r="AU614" s="113"/>
      <c r="AV614" s="113"/>
      <c r="AW614" s="113"/>
      <c r="AX614" s="113"/>
      <c r="AY614" s="113"/>
      <c r="AZ614" s="113"/>
      <c r="BA614" s="113"/>
      <c r="BB614" s="113"/>
      <c r="BC614" s="113"/>
      <c r="BD614" s="113"/>
      <c r="BE614" s="113"/>
      <c r="BF614" s="113"/>
      <c r="BG614" s="113"/>
      <c r="BH614" s="113"/>
      <c r="BI614" s="113"/>
      <c r="BJ614" s="113"/>
      <c r="BK614" s="113"/>
      <c r="BL614" s="113"/>
      <c r="BM614" s="113"/>
      <c r="BN614" s="113"/>
      <c r="BO614" s="113"/>
      <c r="BP614" s="113"/>
      <c r="BQ614" s="113"/>
      <c r="BR614" s="113"/>
      <c r="BS614" s="113"/>
      <c r="BT614" s="113"/>
      <c r="BU614" s="113"/>
      <c r="BV614" s="113"/>
      <c r="BW614" s="113"/>
      <c r="BX614" s="113"/>
      <c r="BY614" s="113"/>
      <c r="BZ614" s="113"/>
      <c r="CA614" s="113"/>
      <c r="CB614" s="113"/>
      <c r="CC614" s="113"/>
      <c r="CD614" s="113"/>
      <c r="CE614" s="113"/>
      <c r="CF614" s="113"/>
      <c r="CG614" s="113"/>
      <c r="CH614" s="113"/>
      <c r="CI614" s="113"/>
      <c r="CJ614" s="113"/>
      <c r="CK614" s="113"/>
    </row>
    <row r="615" spans="1:89" s="112" customFormat="1">
      <c r="A615" s="162"/>
      <c r="B615" s="129">
        <v>606</v>
      </c>
      <c r="C615" s="106" t="s">
        <v>122</v>
      </c>
      <c r="D615" s="124" t="s">
        <v>114</v>
      </c>
      <c r="E615" s="210">
        <v>90</v>
      </c>
      <c r="F615" s="205">
        <v>5</v>
      </c>
      <c r="G615" s="205"/>
      <c r="H615" s="205">
        <v>1.85</v>
      </c>
      <c r="I615" s="205">
        <f t="shared" si="140"/>
        <v>5.5500000000000001E-2</v>
      </c>
      <c r="J615" s="147">
        <f t="shared" si="145"/>
        <v>0</v>
      </c>
      <c r="K615" s="147">
        <f t="shared" si="146"/>
        <v>9.25</v>
      </c>
      <c r="L615" s="147">
        <f t="shared" si="147"/>
        <v>0.27750000000000002</v>
      </c>
      <c r="M615" s="147">
        <f t="shared" si="148"/>
        <v>9.5274999999999999</v>
      </c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  <c r="AA615" s="113"/>
      <c r="AB615" s="113"/>
      <c r="AC615" s="113"/>
      <c r="AD615" s="113"/>
      <c r="AE615" s="113"/>
      <c r="AF615" s="113"/>
      <c r="AG615" s="113"/>
      <c r="AH615" s="113"/>
      <c r="AI615" s="113"/>
      <c r="AJ615" s="113"/>
      <c r="AK615" s="113"/>
      <c r="AL615" s="113"/>
      <c r="AM615" s="113"/>
      <c r="AN615" s="113"/>
      <c r="AO615" s="113"/>
      <c r="AP615" s="113"/>
      <c r="AQ615" s="113"/>
      <c r="AR615" s="113"/>
      <c r="AS615" s="113"/>
      <c r="AT615" s="113"/>
      <c r="AU615" s="113"/>
      <c r="AV615" s="113"/>
      <c r="AW615" s="113"/>
      <c r="AX615" s="113"/>
      <c r="AY615" s="113"/>
      <c r="AZ615" s="113"/>
      <c r="BA615" s="113"/>
      <c r="BB615" s="113"/>
      <c r="BC615" s="113"/>
      <c r="BD615" s="113"/>
      <c r="BE615" s="113"/>
      <c r="BF615" s="113"/>
      <c r="BG615" s="113"/>
      <c r="BH615" s="113"/>
      <c r="BI615" s="113"/>
      <c r="BJ615" s="113"/>
      <c r="BK615" s="113"/>
      <c r="BL615" s="113"/>
      <c r="BM615" s="113"/>
      <c r="BN615" s="113"/>
      <c r="BO615" s="113"/>
      <c r="BP615" s="113"/>
      <c r="BQ615" s="113"/>
      <c r="BR615" s="113"/>
      <c r="BS615" s="113"/>
      <c r="BT615" s="113"/>
      <c r="BU615" s="113"/>
      <c r="BV615" s="113"/>
      <c r="BW615" s="113"/>
      <c r="BX615" s="113"/>
      <c r="BY615" s="113"/>
      <c r="BZ615" s="113"/>
      <c r="CA615" s="113"/>
      <c r="CB615" s="113"/>
      <c r="CC615" s="113"/>
      <c r="CD615" s="113"/>
      <c r="CE615" s="113"/>
      <c r="CF615" s="113"/>
      <c r="CG615" s="113"/>
      <c r="CH615" s="113"/>
      <c r="CI615" s="113"/>
      <c r="CJ615" s="113"/>
      <c r="CK615" s="113"/>
    </row>
    <row r="616" spans="1:89" s="112" customFormat="1">
      <c r="A616" s="162"/>
      <c r="B616" s="129">
        <v>607</v>
      </c>
      <c r="C616" s="106" t="s">
        <v>39</v>
      </c>
      <c r="D616" s="124" t="s">
        <v>83</v>
      </c>
      <c r="E616" s="210">
        <v>252</v>
      </c>
      <c r="F616" s="205">
        <v>36</v>
      </c>
      <c r="G616" s="205"/>
      <c r="H616" s="205">
        <v>0.44</v>
      </c>
      <c r="I616" s="205">
        <f t="shared" si="140"/>
        <v>1.32E-2</v>
      </c>
      <c r="J616" s="147">
        <f t="shared" si="145"/>
        <v>0</v>
      </c>
      <c r="K616" s="147">
        <f t="shared" si="146"/>
        <v>15.84</v>
      </c>
      <c r="L616" s="147">
        <f t="shared" si="147"/>
        <v>0.47520000000000001</v>
      </c>
      <c r="M616" s="147">
        <f t="shared" si="148"/>
        <v>16.315200000000001</v>
      </c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  <c r="AA616" s="113"/>
      <c r="AB616" s="113"/>
      <c r="AC616" s="113"/>
      <c r="AD616" s="113"/>
      <c r="AE616" s="113"/>
      <c r="AF616" s="113"/>
      <c r="AG616" s="113"/>
      <c r="AH616" s="113"/>
      <c r="AI616" s="113"/>
      <c r="AJ616" s="113"/>
      <c r="AK616" s="113"/>
      <c r="AL616" s="113"/>
      <c r="AM616" s="113"/>
      <c r="AN616" s="113"/>
      <c r="AO616" s="113"/>
      <c r="AP616" s="113"/>
      <c r="AQ616" s="113"/>
      <c r="AR616" s="113"/>
      <c r="AS616" s="113"/>
      <c r="AT616" s="113"/>
      <c r="AU616" s="113"/>
      <c r="AV616" s="113"/>
      <c r="AW616" s="113"/>
      <c r="AX616" s="113"/>
      <c r="AY616" s="113"/>
      <c r="AZ616" s="113"/>
      <c r="BA616" s="113"/>
      <c r="BB616" s="113"/>
      <c r="BC616" s="113"/>
      <c r="BD616" s="113"/>
      <c r="BE616" s="113"/>
      <c r="BF616" s="113"/>
      <c r="BG616" s="113"/>
      <c r="BH616" s="113"/>
      <c r="BI616" s="113"/>
      <c r="BJ616" s="113"/>
      <c r="BK616" s="113"/>
      <c r="BL616" s="113"/>
      <c r="BM616" s="113"/>
      <c r="BN616" s="113"/>
      <c r="BO616" s="113"/>
      <c r="BP616" s="113"/>
      <c r="BQ616" s="113"/>
      <c r="BR616" s="113"/>
      <c r="BS616" s="113"/>
      <c r="BT616" s="113"/>
      <c r="BU616" s="113"/>
      <c r="BV616" s="113"/>
      <c r="BW616" s="113"/>
      <c r="BX616" s="113"/>
      <c r="BY616" s="113"/>
      <c r="BZ616" s="113"/>
      <c r="CA616" s="113"/>
      <c r="CB616" s="113"/>
      <c r="CC616" s="113"/>
      <c r="CD616" s="113"/>
      <c r="CE616" s="113"/>
      <c r="CF616" s="113"/>
      <c r="CG616" s="113"/>
      <c r="CH616" s="113"/>
      <c r="CI616" s="113"/>
      <c r="CJ616" s="113"/>
      <c r="CK616" s="113"/>
    </row>
    <row r="617" spans="1:89" s="112" customFormat="1">
      <c r="A617" s="162"/>
      <c r="B617" s="129">
        <v>608</v>
      </c>
      <c r="C617" s="106" t="s">
        <v>119</v>
      </c>
      <c r="D617" s="124" t="s">
        <v>47</v>
      </c>
      <c r="E617" s="210">
        <v>20</v>
      </c>
      <c r="F617" s="205">
        <f>F613*0.07*0.25</f>
        <v>0.39217500000000005</v>
      </c>
      <c r="G617" s="205"/>
      <c r="H617" s="205">
        <v>4.87</v>
      </c>
      <c r="I617" s="205">
        <f t="shared" si="140"/>
        <v>0.14610000000000001</v>
      </c>
      <c r="J617" s="147">
        <f t="shared" si="145"/>
        <v>0</v>
      </c>
      <c r="K617" s="147">
        <f t="shared" si="146"/>
        <v>1.9098922500000004</v>
      </c>
      <c r="L617" s="147">
        <f t="shared" si="147"/>
        <v>5.7296767500000012E-2</v>
      </c>
      <c r="M617" s="147">
        <f t="shared" si="148"/>
        <v>1.9671890175000004</v>
      </c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  <c r="AA617" s="113"/>
      <c r="AB617" s="113"/>
      <c r="AC617" s="113"/>
      <c r="AD617" s="113"/>
      <c r="AE617" s="113"/>
      <c r="AF617" s="113"/>
      <c r="AG617" s="113"/>
      <c r="AH617" s="113"/>
      <c r="AI617" s="113"/>
      <c r="AJ617" s="113"/>
      <c r="AK617" s="113"/>
      <c r="AL617" s="113"/>
      <c r="AM617" s="113"/>
      <c r="AN617" s="113"/>
      <c r="AO617" s="113"/>
      <c r="AP617" s="113"/>
      <c r="AQ617" s="113"/>
      <c r="AR617" s="113"/>
      <c r="AS617" s="113"/>
      <c r="AT617" s="113"/>
      <c r="AU617" s="113"/>
      <c r="AV617" s="113"/>
      <c r="AW617" s="113"/>
      <c r="AX617" s="113"/>
      <c r="AY617" s="113"/>
      <c r="AZ617" s="113"/>
      <c r="BA617" s="113"/>
      <c r="BB617" s="113"/>
      <c r="BC617" s="113"/>
      <c r="BD617" s="113"/>
      <c r="BE617" s="113"/>
      <c r="BF617" s="113"/>
      <c r="BG617" s="113"/>
      <c r="BH617" s="113"/>
      <c r="BI617" s="113"/>
      <c r="BJ617" s="113"/>
      <c r="BK617" s="113"/>
      <c r="BL617" s="113"/>
      <c r="BM617" s="113"/>
      <c r="BN617" s="113"/>
      <c r="BO617" s="113"/>
      <c r="BP617" s="113"/>
      <c r="BQ617" s="113"/>
      <c r="BR617" s="113"/>
      <c r="BS617" s="113"/>
      <c r="BT617" s="113"/>
      <c r="BU617" s="113"/>
      <c r="BV617" s="113"/>
      <c r="BW617" s="113"/>
      <c r="BX617" s="113"/>
      <c r="BY617" s="113"/>
      <c r="BZ617" s="113"/>
      <c r="CA617" s="113"/>
      <c r="CB617" s="113"/>
      <c r="CC617" s="113"/>
      <c r="CD617" s="113"/>
      <c r="CE617" s="113"/>
      <c r="CF617" s="113"/>
      <c r="CG617" s="113"/>
      <c r="CH617" s="113"/>
      <c r="CI617" s="113"/>
      <c r="CJ617" s="113"/>
      <c r="CK617" s="113"/>
    </row>
    <row r="618" spans="1:89" s="140" customFormat="1">
      <c r="A618" s="161"/>
      <c r="B618" s="129">
        <v>609</v>
      </c>
      <c r="C618" s="182" t="s">
        <v>483</v>
      </c>
      <c r="D618" s="137"/>
      <c r="E618" s="209"/>
      <c r="F618" s="206"/>
      <c r="G618" s="206"/>
      <c r="H618" s="206"/>
      <c r="I618" s="206"/>
      <c r="J618" s="147">
        <f t="shared" ref="J618:J638" si="149">F618*G618</f>
        <v>0</v>
      </c>
      <c r="K618" s="147">
        <f t="shared" ref="K618:K638" si="150">F618*H618</f>
        <v>0</v>
      </c>
      <c r="L618" s="147">
        <f t="shared" ref="L618:L638" si="151">F618*I618</f>
        <v>0</v>
      </c>
      <c r="M618" s="147">
        <f t="shared" ref="M618:M638" si="152">J618+K618+L618</f>
        <v>0</v>
      </c>
      <c r="O618" s="139"/>
      <c r="P618" s="139"/>
      <c r="Q618" s="139"/>
      <c r="R618" s="139"/>
      <c r="S618" s="139"/>
      <c r="T618" s="139"/>
      <c r="U618" s="139"/>
      <c r="V618" s="139"/>
      <c r="W618" s="139"/>
      <c r="X618" s="139"/>
      <c r="Y618" s="139"/>
      <c r="Z618" s="139"/>
      <c r="AA618" s="139"/>
      <c r="AB618" s="139"/>
      <c r="AC618" s="139"/>
      <c r="AD618" s="139"/>
      <c r="AE618" s="139"/>
      <c r="AF618" s="139"/>
      <c r="AG618" s="139"/>
      <c r="AH618" s="139"/>
      <c r="AI618" s="139"/>
      <c r="AJ618" s="139"/>
      <c r="AK618" s="139"/>
      <c r="AL618" s="139"/>
      <c r="AM618" s="139"/>
      <c r="AN618" s="139"/>
      <c r="AO618" s="139"/>
      <c r="AP618" s="139"/>
      <c r="AQ618" s="139"/>
      <c r="AR618" s="139"/>
      <c r="AS618" s="139"/>
      <c r="AT618" s="139"/>
      <c r="AU618" s="139"/>
      <c r="AV618" s="139"/>
      <c r="AW618" s="139"/>
      <c r="AX618" s="139"/>
      <c r="AY618" s="139"/>
      <c r="AZ618" s="139"/>
      <c r="BA618" s="139"/>
      <c r="BB618" s="139"/>
      <c r="BC618" s="139"/>
      <c r="BD618" s="139"/>
      <c r="BE618" s="139"/>
      <c r="BF618" s="139"/>
      <c r="BG618" s="139"/>
      <c r="BH618" s="139"/>
      <c r="BI618" s="139"/>
      <c r="BJ618" s="139"/>
      <c r="BK618" s="139"/>
      <c r="BL618" s="139"/>
      <c r="BM618" s="139"/>
      <c r="BN618" s="139"/>
      <c r="BO618" s="139"/>
      <c r="BP618" s="139"/>
      <c r="BQ618" s="139"/>
      <c r="BR618" s="139"/>
      <c r="BS618" s="139"/>
      <c r="BT618" s="139"/>
      <c r="BU618" s="139"/>
      <c r="BV618" s="139"/>
      <c r="BW618" s="139"/>
      <c r="BX618" s="139"/>
      <c r="BY618" s="139"/>
      <c r="BZ618" s="139"/>
      <c r="CA618" s="139"/>
      <c r="CB618" s="139"/>
      <c r="CC618" s="139"/>
      <c r="CD618" s="139"/>
      <c r="CE618" s="139"/>
      <c r="CF618" s="139"/>
      <c r="CG618" s="139"/>
      <c r="CH618" s="139"/>
      <c r="CI618" s="139"/>
      <c r="CJ618" s="139"/>
      <c r="CK618" s="139"/>
    </row>
    <row r="619" spans="1:89" ht="25.5" customHeight="1">
      <c r="A619" s="160"/>
      <c r="B619" s="129">
        <v>610</v>
      </c>
      <c r="C619" s="143" t="s">
        <v>482</v>
      </c>
      <c r="D619" s="123" t="s">
        <v>6</v>
      </c>
      <c r="E619" s="204">
        <v>6</v>
      </c>
      <c r="F619" s="147">
        <v>10</v>
      </c>
      <c r="G619" s="147">
        <v>1.5</v>
      </c>
      <c r="H619" s="147"/>
      <c r="I619" s="205">
        <f t="shared" si="140"/>
        <v>0.15000000000000002</v>
      </c>
      <c r="J619" s="147">
        <f t="shared" si="149"/>
        <v>15</v>
      </c>
      <c r="K619" s="147">
        <f t="shared" si="150"/>
        <v>0</v>
      </c>
      <c r="L619" s="147">
        <f t="shared" si="151"/>
        <v>1.5000000000000002</v>
      </c>
      <c r="M619" s="147">
        <f t="shared" si="152"/>
        <v>16.5</v>
      </c>
      <c r="CD619" s="104"/>
      <c r="CE619" s="104"/>
      <c r="CF619" s="104"/>
      <c r="CG619" s="104"/>
      <c r="CH619" s="104"/>
      <c r="CI619" s="104"/>
      <c r="CJ619" s="104"/>
      <c r="CK619" s="104"/>
    </row>
    <row r="620" spans="1:89">
      <c r="B620" s="129">
        <v>611</v>
      </c>
      <c r="C620" s="106" t="s">
        <v>339</v>
      </c>
      <c r="D620" s="123"/>
      <c r="E620" s="129"/>
      <c r="F620" s="147">
        <f>4.5*1.15</f>
        <v>5.1749999999999998</v>
      </c>
      <c r="G620" s="147"/>
      <c r="H620" s="147">
        <v>1.1000000000000001</v>
      </c>
      <c r="I620" s="205">
        <f>(G620*0.1)+(H620*0.03)</f>
        <v>3.3000000000000002E-2</v>
      </c>
      <c r="J620" s="147">
        <f t="shared" si="149"/>
        <v>0</v>
      </c>
      <c r="K620" s="147">
        <f t="shared" si="150"/>
        <v>5.6924999999999999</v>
      </c>
      <c r="L620" s="147">
        <f t="shared" si="151"/>
        <v>0.17077500000000001</v>
      </c>
      <c r="M620" s="147">
        <f t="shared" si="152"/>
        <v>5.8632749999999998</v>
      </c>
      <c r="CD620" s="104"/>
      <c r="CE620" s="104"/>
      <c r="CF620" s="104"/>
      <c r="CG620" s="104"/>
      <c r="CH620" s="104"/>
      <c r="CI620" s="104"/>
      <c r="CJ620" s="104"/>
      <c r="CK620" s="104"/>
    </row>
    <row r="621" spans="1:89" s="112" customFormat="1">
      <c r="A621" s="162"/>
      <c r="B621" s="129">
        <v>612</v>
      </c>
      <c r="C621" s="106" t="s">
        <v>54</v>
      </c>
      <c r="D621" s="124" t="s">
        <v>6</v>
      </c>
      <c r="E621" s="210">
        <v>7</v>
      </c>
      <c r="F621" s="205">
        <v>5.1749999999999998</v>
      </c>
      <c r="G621" s="205"/>
      <c r="H621" s="205">
        <f>2.5*0.6</f>
        <v>1.5</v>
      </c>
      <c r="I621" s="205">
        <f t="shared" si="140"/>
        <v>4.4999999999999998E-2</v>
      </c>
      <c r="J621" s="147">
        <f t="shared" si="149"/>
        <v>0</v>
      </c>
      <c r="K621" s="147">
        <f t="shared" si="150"/>
        <v>7.7624999999999993</v>
      </c>
      <c r="L621" s="147">
        <f t="shared" si="151"/>
        <v>0.23287499999999997</v>
      </c>
      <c r="M621" s="147">
        <f t="shared" si="152"/>
        <v>7.9953749999999992</v>
      </c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  <c r="AA621" s="113"/>
      <c r="AB621" s="113"/>
      <c r="AC621" s="113"/>
      <c r="AD621" s="113"/>
      <c r="AE621" s="113"/>
      <c r="AF621" s="113"/>
      <c r="AG621" s="113"/>
      <c r="AH621" s="113"/>
      <c r="AI621" s="113"/>
      <c r="AJ621" s="113"/>
      <c r="AK621" s="113"/>
      <c r="AL621" s="113"/>
      <c r="AM621" s="113"/>
      <c r="AN621" s="113"/>
      <c r="AO621" s="113"/>
      <c r="AP621" s="113"/>
      <c r="AQ621" s="113"/>
      <c r="AR621" s="113"/>
      <c r="AS621" s="113"/>
      <c r="AT621" s="113"/>
      <c r="AU621" s="113"/>
      <c r="AV621" s="113"/>
      <c r="AW621" s="113"/>
      <c r="AX621" s="113"/>
      <c r="AY621" s="113"/>
      <c r="AZ621" s="113"/>
      <c r="BA621" s="113"/>
      <c r="BB621" s="113"/>
      <c r="BC621" s="113"/>
      <c r="BD621" s="113"/>
      <c r="BE621" s="113"/>
      <c r="BF621" s="113"/>
      <c r="BG621" s="113"/>
      <c r="BH621" s="113"/>
      <c r="BI621" s="113"/>
      <c r="BJ621" s="113"/>
      <c r="BK621" s="113"/>
      <c r="BL621" s="113"/>
      <c r="BM621" s="113"/>
      <c r="BN621" s="113"/>
      <c r="BO621" s="113"/>
      <c r="BP621" s="113"/>
      <c r="BQ621" s="113"/>
      <c r="BR621" s="113"/>
      <c r="BS621" s="113"/>
      <c r="BT621" s="113"/>
      <c r="BU621" s="113"/>
      <c r="BV621" s="113"/>
      <c r="BW621" s="113"/>
      <c r="BX621" s="113"/>
      <c r="BY621" s="113"/>
      <c r="BZ621" s="113"/>
      <c r="CA621" s="113"/>
      <c r="CB621" s="113"/>
      <c r="CC621" s="113"/>
      <c r="CD621" s="113"/>
      <c r="CE621" s="113"/>
      <c r="CF621" s="113"/>
      <c r="CG621" s="113"/>
      <c r="CH621" s="113"/>
      <c r="CI621" s="113"/>
      <c r="CJ621" s="113"/>
      <c r="CK621" s="113"/>
    </row>
    <row r="622" spans="1:89" s="112" customFormat="1">
      <c r="A622" s="162"/>
      <c r="B622" s="129">
        <v>613</v>
      </c>
      <c r="C622" s="106" t="s">
        <v>436</v>
      </c>
      <c r="D622" s="124" t="s">
        <v>47</v>
      </c>
      <c r="E622" s="210">
        <v>6</v>
      </c>
      <c r="F622" s="205">
        <v>1</v>
      </c>
      <c r="G622" s="205"/>
      <c r="H622" s="205">
        <v>2.15</v>
      </c>
      <c r="I622" s="205">
        <f t="shared" si="140"/>
        <v>6.4500000000000002E-2</v>
      </c>
      <c r="J622" s="147">
        <f t="shared" si="149"/>
        <v>0</v>
      </c>
      <c r="K622" s="147">
        <f t="shared" si="150"/>
        <v>2.15</v>
      </c>
      <c r="L622" s="147">
        <f t="shared" si="151"/>
        <v>6.4500000000000002E-2</v>
      </c>
      <c r="M622" s="147">
        <f t="shared" si="152"/>
        <v>2.2145000000000001</v>
      </c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  <c r="AA622" s="113"/>
      <c r="AB622" s="113"/>
      <c r="AC622" s="113"/>
      <c r="AD622" s="113"/>
      <c r="AE622" s="113"/>
      <c r="AF622" s="113"/>
      <c r="AG622" s="113"/>
      <c r="AH622" s="113"/>
      <c r="AI622" s="113"/>
      <c r="AJ622" s="113"/>
      <c r="AK622" s="113"/>
      <c r="AL622" s="113"/>
      <c r="AM622" s="113"/>
      <c r="AN622" s="113"/>
      <c r="AO622" s="113"/>
      <c r="AP622" s="113"/>
      <c r="AQ622" s="113"/>
      <c r="AR622" s="113"/>
      <c r="AS622" s="113"/>
      <c r="AT622" s="113"/>
      <c r="AU622" s="113"/>
      <c r="AV622" s="113"/>
      <c r="AW622" s="113"/>
      <c r="AX622" s="113"/>
      <c r="AY622" s="113"/>
      <c r="AZ622" s="113"/>
      <c r="BA622" s="113"/>
      <c r="BB622" s="113"/>
      <c r="BC622" s="113"/>
      <c r="BD622" s="113"/>
      <c r="BE622" s="113"/>
      <c r="BF622" s="113"/>
      <c r="BG622" s="113"/>
      <c r="BH622" s="113"/>
      <c r="BI622" s="113"/>
      <c r="BJ622" s="113"/>
      <c r="BK622" s="113"/>
      <c r="BL622" s="113"/>
      <c r="BM622" s="113"/>
      <c r="BN622" s="113"/>
      <c r="BO622" s="113"/>
      <c r="BP622" s="113"/>
      <c r="BQ622" s="113"/>
      <c r="BR622" s="113"/>
      <c r="BS622" s="113"/>
      <c r="BT622" s="113"/>
      <c r="BU622" s="113"/>
      <c r="BV622" s="113"/>
      <c r="BW622" s="113"/>
      <c r="BX622" s="113"/>
      <c r="BY622" s="113"/>
      <c r="BZ622" s="113"/>
      <c r="CA622" s="113"/>
      <c r="CB622" s="113"/>
      <c r="CC622" s="113"/>
      <c r="CD622" s="113"/>
      <c r="CE622" s="113"/>
      <c r="CF622" s="113"/>
      <c r="CG622" s="113"/>
      <c r="CH622" s="113"/>
      <c r="CI622" s="113"/>
      <c r="CJ622" s="113"/>
      <c r="CK622" s="113"/>
    </row>
    <row r="623" spans="1:89" s="112" customFormat="1" ht="12.75" customHeight="1">
      <c r="B623" s="129">
        <v>614</v>
      </c>
      <c r="C623" s="118" t="s">
        <v>437</v>
      </c>
      <c r="D623" s="124" t="s">
        <v>439</v>
      </c>
      <c r="E623" s="117"/>
      <c r="F623" s="205">
        <v>1</v>
      </c>
      <c r="G623" s="205"/>
      <c r="H623" s="205">
        <v>0.95</v>
      </c>
      <c r="I623" s="205">
        <f t="shared" ref="I623:I676" si="153">(G623*0.1)+(H623*0.03)</f>
        <v>2.8499999999999998E-2</v>
      </c>
      <c r="J623" s="147">
        <f t="shared" si="149"/>
        <v>0</v>
      </c>
      <c r="K623" s="147">
        <f t="shared" si="150"/>
        <v>0.95</v>
      </c>
      <c r="L623" s="147">
        <f t="shared" si="151"/>
        <v>2.8499999999999998E-2</v>
      </c>
      <c r="M623" s="147">
        <f t="shared" si="152"/>
        <v>0.97849999999999993</v>
      </c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  <c r="AA623" s="113"/>
      <c r="AB623" s="113"/>
      <c r="AC623" s="113"/>
      <c r="AD623" s="113"/>
      <c r="AE623" s="113"/>
      <c r="AF623" s="113"/>
      <c r="AG623" s="113"/>
      <c r="AH623" s="113"/>
      <c r="AI623" s="113"/>
      <c r="AJ623" s="113"/>
      <c r="AK623" s="113"/>
      <c r="AL623" s="113"/>
      <c r="AM623" s="113"/>
      <c r="AN623" s="113"/>
      <c r="AO623" s="113"/>
      <c r="AP623" s="113"/>
      <c r="AQ623" s="113"/>
      <c r="AR623" s="113"/>
      <c r="AS623" s="113"/>
      <c r="AT623" s="113"/>
      <c r="AU623" s="113"/>
      <c r="AV623" s="113"/>
      <c r="AW623" s="113"/>
      <c r="AX623" s="113"/>
      <c r="AY623" s="113"/>
      <c r="AZ623" s="113"/>
      <c r="BA623" s="113"/>
      <c r="BB623" s="113"/>
      <c r="BC623" s="113"/>
      <c r="BD623" s="113"/>
      <c r="BE623" s="113"/>
      <c r="BF623" s="113"/>
      <c r="BG623" s="113"/>
      <c r="BH623" s="113"/>
      <c r="BI623" s="113"/>
      <c r="BJ623" s="113"/>
      <c r="BK623" s="113"/>
      <c r="BL623" s="113"/>
      <c r="BM623" s="113"/>
      <c r="BN623" s="113"/>
      <c r="BO623" s="113"/>
      <c r="BP623" s="113"/>
      <c r="BQ623" s="113"/>
      <c r="BR623" s="113"/>
      <c r="BS623" s="113"/>
      <c r="BT623" s="113"/>
      <c r="BU623" s="113"/>
      <c r="BV623" s="113"/>
      <c r="BW623" s="113"/>
      <c r="BX623" s="113"/>
      <c r="BY623" s="113"/>
      <c r="BZ623" s="113"/>
      <c r="CA623" s="113"/>
      <c r="CB623" s="113"/>
      <c r="CC623" s="113"/>
      <c r="CD623" s="113"/>
      <c r="CE623" s="113"/>
      <c r="CF623" s="113"/>
      <c r="CG623" s="113"/>
      <c r="CH623" s="113"/>
      <c r="CI623" s="113"/>
      <c r="CJ623" s="113"/>
      <c r="CK623" s="113"/>
    </row>
    <row r="624" spans="1:89" s="112" customFormat="1" ht="13.5" customHeight="1">
      <c r="B624" s="129">
        <v>615</v>
      </c>
      <c r="C624" s="118" t="s">
        <v>438</v>
      </c>
      <c r="D624" s="124" t="s">
        <v>273</v>
      </c>
      <c r="E624" s="117"/>
      <c r="F624" s="205">
        <v>6</v>
      </c>
      <c r="G624" s="205"/>
      <c r="H624" s="205">
        <v>0.75</v>
      </c>
      <c r="I624" s="205">
        <f t="shared" si="153"/>
        <v>2.2499999999999999E-2</v>
      </c>
      <c r="J624" s="147">
        <f t="shared" si="149"/>
        <v>0</v>
      </c>
      <c r="K624" s="147">
        <f t="shared" si="150"/>
        <v>4.5</v>
      </c>
      <c r="L624" s="147">
        <f t="shared" si="151"/>
        <v>0.13500000000000001</v>
      </c>
      <c r="M624" s="147">
        <f t="shared" si="152"/>
        <v>4.6349999999999998</v>
      </c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  <c r="AA624" s="113"/>
      <c r="AB624" s="113"/>
      <c r="AC624" s="113"/>
      <c r="AD624" s="113"/>
      <c r="AE624" s="113"/>
      <c r="AF624" s="113"/>
      <c r="AG624" s="113"/>
      <c r="AH624" s="113"/>
      <c r="AI624" s="113"/>
      <c r="AJ624" s="113"/>
      <c r="AK624" s="113"/>
      <c r="AL624" s="113"/>
      <c r="AM624" s="113"/>
      <c r="AN624" s="113"/>
      <c r="AO624" s="113"/>
      <c r="AP624" s="113"/>
      <c r="AQ624" s="113"/>
      <c r="AR624" s="113"/>
      <c r="AS624" s="113"/>
      <c r="AT624" s="113"/>
      <c r="AU624" s="113"/>
      <c r="AV624" s="113"/>
      <c r="AW624" s="113"/>
      <c r="AX624" s="113"/>
      <c r="AY624" s="113"/>
      <c r="AZ624" s="113"/>
      <c r="BA624" s="113"/>
      <c r="BB624" s="113"/>
      <c r="BC624" s="113"/>
      <c r="BD624" s="113"/>
      <c r="BE624" s="113"/>
      <c r="BF624" s="113"/>
      <c r="BG624" s="113"/>
      <c r="BH624" s="113"/>
      <c r="BI624" s="113"/>
      <c r="BJ624" s="113"/>
      <c r="BK624" s="113"/>
      <c r="BL624" s="113"/>
      <c r="BM624" s="113"/>
      <c r="BN624" s="113"/>
      <c r="BO624" s="113"/>
      <c r="BP624" s="113"/>
      <c r="BQ624" s="113"/>
      <c r="BR624" s="113"/>
      <c r="BS624" s="113"/>
      <c r="BT624" s="113"/>
      <c r="BU624" s="113"/>
      <c r="BV624" s="113"/>
      <c r="BW624" s="113"/>
      <c r="BX624" s="113"/>
      <c r="BY624" s="113"/>
      <c r="BZ624" s="113"/>
      <c r="CA624" s="113"/>
      <c r="CB624" s="113"/>
      <c r="CC624" s="113"/>
      <c r="CD624" s="113"/>
      <c r="CE624" s="113"/>
      <c r="CF624" s="113"/>
      <c r="CG624" s="113"/>
      <c r="CH624" s="113"/>
      <c r="CI624" s="113"/>
      <c r="CJ624" s="113"/>
      <c r="CK624" s="113"/>
    </row>
    <row r="625" spans="1:89">
      <c r="B625" s="129">
        <v>616</v>
      </c>
      <c r="C625" s="131" t="s">
        <v>393</v>
      </c>
      <c r="D625" s="123" t="s">
        <v>6</v>
      </c>
      <c r="E625" s="129"/>
      <c r="F625" s="147">
        <v>4.5</v>
      </c>
      <c r="G625" s="147">
        <v>0.55000000000000004</v>
      </c>
      <c r="H625" s="147"/>
      <c r="I625" s="205">
        <f t="shared" si="153"/>
        <v>5.5000000000000007E-2</v>
      </c>
      <c r="J625" s="147">
        <f t="shared" si="149"/>
        <v>2.4750000000000001</v>
      </c>
      <c r="K625" s="147">
        <f t="shared" si="150"/>
        <v>0</v>
      </c>
      <c r="L625" s="147">
        <f t="shared" si="151"/>
        <v>0.24750000000000003</v>
      </c>
      <c r="M625" s="147">
        <f t="shared" si="152"/>
        <v>2.7225000000000001</v>
      </c>
      <c r="CD625" s="104"/>
      <c r="CE625" s="104"/>
      <c r="CF625" s="104"/>
      <c r="CG625" s="104"/>
      <c r="CH625" s="104"/>
      <c r="CI625" s="104"/>
      <c r="CJ625" s="104"/>
      <c r="CK625" s="104"/>
    </row>
    <row r="626" spans="1:89">
      <c r="B626" s="129">
        <v>617</v>
      </c>
      <c r="C626" s="106" t="s">
        <v>94</v>
      </c>
      <c r="D626" s="123"/>
      <c r="E626" s="129"/>
      <c r="F626" s="147">
        <f>1.5*F625</f>
        <v>6.75</v>
      </c>
      <c r="G626" s="147"/>
      <c r="H626" s="147">
        <v>0.45</v>
      </c>
      <c r="I626" s="205">
        <f t="shared" si="153"/>
        <v>1.35E-2</v>
      </c>
      <c r="J626" s="147">
        <f t="shared" si="149"/>
        <v>0</v>
      </c>
      <c r="K626" s="147">
        <f t="shared" si="150"/>
        <v>3.0375000000000001</v>
      </c>
      <c r="L626" s="147">
        <f t="shared" si="151"/>
        <v>9.1124999999999998E-2</v>
      </c>
      <c r="M626" s="147">
        <f t="shared" si="152"/>
        <v>3.128625</v>
      </c>
      <c r="CD626" s="104"/>
      <c r="CE626" s="104"/>
      <c r="CF626" s="104"/>
      <c r="CG626" s="104"/>
      <c r="CH626" s="104"/>
      <c r="CI626" s="104"/>
      <c r="CJ626" s="104"/>
      <c r="CK626" s="104"/>
    </row>
    <row r="627" spans="1:89">
      <c r="A627" s="160"/>
      <c r="B627" s="129">
        <v>618</v>
      </c>
      <c r="C627" s="109" t="s">
        <v>440</v>
      </c>
      <c r="D627" s="123" t="s">
        <v>6</v>
      </c>
      <c r="E627" s="204">
        <v>6</v>
      </c>
      <c r="F627" s="147">
        <v>4.5</v>
      </c>
      <c r="G627" s="147">
        <v>5.4</v>
      </c>
      <c r="H627" s="147"/>
      <c r="I627" s="205">
        <f t="shared" si="153"/>
        <v>0.54</v>
      </c>
      <c r="J627" s="147">
        <f t="shared" si="149"/>
        <v>24.3</v>
      </c>
      <c r="K627" s="147">
        <f t="shared" si="150"/>
        <v>0</v>
      </c>
      <c r="L627" s="147">
        <f t="shared" si="151"/>
        <v>2.4300000000000002</v>
      </c>
      <c r="M627" s="147">
        <f t="shared" si="152"/>
        <v>26.73</v>
      </c>
      <c r="CD627" s="104"/>
      <c r="CE627" s="104"/>
      <c r="CF627" s="104"/>
      <c r="CG627" s="104"/>
      <c r="CH627" s="104"/>
      <c r="CI627" s="104"/>
      <c r="CJ627" s="104"/>
      <c r="CK627" s="104"/>
    </row>
    <row r="628" spans="1:89" s="112" customFormat="1">
      <c r="A628" s="162"/>
      <c r="B628" s="129">
        <v>619</v>
      </c>
      <c r="C628" s="106" t="s">
        <v>57</v>
      </c>
      <c r="D628" s="124" t="s">
        <v>6</v>
      </c>
      <c r="E628" s="210">
        <v>7</v>
      </c>
      <c r="F628" s="205">
        <f>1.05*F627</f>
        <v>4.7250000000000005</v>
      </c>
      <c r="G628" s="205"/>
      <c r="H628" s="205">
        <v>6.5</v>
      </c>
      <c r="I628" s="205">
        <f t="shared" si="153"/>
        <v>0.19500000000000001</v>
      </c>
      <c r="J628" s="147">
        <f t="shared" si="149"/>
        <v>0</v>
      </c>
      <c r="K628" s="147">
        <f t="shared" si="150"/>
        <v>30.712500000000002</v>
      </c>
      <c r="L628" s="147">
        <f t="shared" si="151"/>
        <v>0.92137500000000017</v>
      </c>
      <c r="M628" s="147">
        <f t="shared" si="152"/>
        <v>31.633875000000003</v>
      </c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  <c r="AA628" s="113"/>
      <c r="AB628" s="113"/>
      <c r="AC628" s="113"/>
      <c r="AD628" s="113"/>
      <c r="AE628" s="113"/>
      <c r="AF628" s="113"/>
      <c r="AG628" s="113"/>
      <c r="AH628" s="113"/>
      <c r="AI628" s="113"/>
      <c r="AJ628" s="113"/>
      <c r="AK628" s="113"/>
      <c r="AL628" s="113"/>
      <c r="AM628" s="113"/>
      <c r="AN628" s="113"/>
      <c r="AO628" s="113"/>
      <c r="AP628" s="113"/>
      <c r="AQ628" s="113"/>
      <c r="AR628" s="113"/>
      <c r="AS628" s="113"/>
      <c r="AT628" s="113"/>
      <c r="AU628" s="113"/>
      <c r="AV628" s="113"/>
      <c r="AW628" s="113"/>
      <c r="AX628" s="113"/>
      <c r="AY628" s="113"/>
      <c r="AZ628" s="113"/>
      <c r="BA628" s="113"/>
      <c r="BB628" s="113"/>
      <c r="BC628" s="113"/>
      <c r="BD628" s="113"/>
      <c r="BE628" s="113"/>
      <c r="BF628" s="113"/>
      <c r="BG628" s="113"/>
      <c r="BH628" s="113"/>
      <c r="BI628" s="113"/>
      <c r="BJ628" s="113"/>
      <c r="BK628" s="113"/>
      <c r="BL628" s="113"/>
      <c r="BM628" s="113"/>
      <c r="BN628" s="113"/>
      <c r="BO628" s="113"/>
      <c r="BP628" s="113"/>
      <c r="BQ628" s="113"/>
      <c r="BR628" s="113"/>
      <c r="BS628" s="113"/>
      <c r="BT628" s="113"/>
      <c r="BU628" s="113"/>
      <c r="BV628" s="113"/>
      <c r="BW628" s="113"/>
      <c r="BX628" s="113"/>
      <c r="BY628" s="113"/>
      <c r="BZ628" s="113"/>
      <c r="CA628" s="113"/>
      <c r="CB628" s="113"/>
      <c r="CC628" s="113"/>
      <c r="CD628" s="113"/>
      <c r="CE628" s="113"/>
      <c r="CF628" s="113"/>
      <c r="CG628" s="113"/>
      <c r="CH628" s="113"/>
      <c r="CI628" s="113"/>
      <c r="CJ628" s="113"/>
      <c r="CK628" s="113"/>
    </row>
    <row r="629" spans="1:89" s="112" customFormat="1">
      <c r="A629" s="162"/>
      <c r="B629" s="129">
        <v>620</v>
      </c>
      <c r="C629" s="106" t="s">
        <v>58</v>
      </c>
      <c r="D629" s="124" t="s">
        <v>47</v>
      </c>
      <c r="E629" s="210">
        <v>24</v>
      </c>
      <c r="F629" s="205">
        <f>4.5*F627</f>
        <v>20.25</v>
      </c>
      <c r="G629" s="205"/>
      <c r="H629" s="205">
        <v>0.23</v>
      </c>
      <c r="I629" s="205">
        <f t="shared" si="153"/>
        <v>6.8999999999999999E-3</v>
      </c>
      <c r="J629" s="147">
        <f t="shared" si="149"/>
        <v>0</v>
      </c>
      <c r="K629" s="147">
        <f t="shared" si="150"/>
        <v>4.6575000000000006</v>
      </c>
      <c r="L629" s="147">
        <f t="shared" si="151"/>
        <v>0.13972499999999999</v>
      </c>
      <c r="M629" s="147">
        <f t="shared" si="152"/>
        <v>4.797225000000001</v>
      </c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  <c r="AA629" s="113"/>
      <c r="AB629" s="113"/>
      <c r="AC629" s="113"/>
      <c r="AD629" s="113"/>
      <c r="AE629" s="113"/>
      <c r="AF629" s="113"/>
      <c r="AG629" s="113"/>
      <c r="AH629" s="113"/>
      <c r="AI629" s="113"/>
      <c r="AJ629" s="113"/>
      <c r="AK629" s="113"/>
      <c r="AL629" s="113"/>
      <c r="AM629" s="113"/>
      <c r="AN629" s="113"/>
      <c r="AO629" s="113"/>
      <c r="AP629" s="113"/>
      <c r="AQ629" s="113"/>
      <c r="AR629" s="113"/>
      <c r="AS629" s="113"/>
      <c r="AT629" s="113"/>
      <c r="AU629" s="113"/>
      <c r="AV629" s="113"/>
      <c r="AW629" s="113"/>
      <c r="AX629" s="113"/>
      <c r="AY629" s="113"/>
      <c r="AZ629" s="113"/>
      <c r="BA629" s="113"/>
      <c r="BB629" s="113"/>
      <c r="BC629" s="113"/>
      <c r="BD629" s="113"/>
      <c r="BE629" s="113"/>
      <c r="BF629" s="113"/>
      <c r="BG629" s="113"/>
      <c r="BH629" s="113"/>
      <c r="BI629" s="113"/>
      <c r="BJ629" s="113"/>
      <c r="BK629" s="113"/>
      <c r="BL629" s="113"/>
      <c r="BM629" s="113"/>
      <c r="BN629" s="113"/>
      <c r="BO629" s="113"/>
      <c r="BP629" s="113"/>
      <c r="BQ629" s="113"/>
      <c r="BR629" s="113"/>
      <c r="BS629" s="113"/>
      <c r="BT629" s="113"/>
      <c r="BU629" s="113"/>
      <c r="BV629" s="113"/>
      <c r="BW629" s="113"/>
      <c r="BX629" s="113"/>
      <c r="BY629" s="113"/>
      <c r="BZ629" s="113"/>
      <c r="CA629" s="113"/>
      <c r="CB629" s="113"/>
      <c r="CC629" s="113"/>
      <c r="CD629" s="113"/>
      <c r="CE629" s="113"/>
      <c r="CF629" s="113"/>
      <c r="CG629" s="113"/>
      <c r="CH629" s="113"/>
      <c r="CI629" s="113"/>
      <c r="CJ629" s="113"/>
      <c r="CK629" s="113"/>
    </row>
    <row r="630" spans="1:89" s="112" customFormat="1">
      <c r="A630" s="162"/>
      <c r="B630" s="129">
        <v>621</v>
      </c>
      <c r="C630" s="106" t="s">
        <v>59</v>
      </c>
      <c r="D630" s="124" t="s">
        <v>47</v>
      </c>
      <c r="E630" s="210">
        <v>6</v>
      </c>
      <c r="F630" s="205">
        <f>F627</f>
        <v>4.5</v>
      </c>
      <c r="G630" s="205"/>
      <c r="H630" s="205">
        <v>0.05</v>
      </c>
      <c r="I630" s="205">
        <f t="shared" si="153"/>
        <v>1.5E-3</v>
      </c>
      <c r="J630" s="147">
        <f t="shared" si="149"/>
        <v>0</v>
      </c>
      <c r="K630" s="147">
        <f t="shared" si="150"/>
        <v>0.22500000000000001</v>
      </c>
      <c r="L630" s="147">
        <f t="shared" si="151"/>
        <v>6.7499999999999999E-3</v>
      </c>
      <c r="M630" s="147">
        <f t="shared" si="152"/>
        <v>0.23175000000000001</v>
      </c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  <c r="AA630" s="113"/>
      <c r="AB630" s="113"/>
      <c r="AC630" s="113"/>
      <c r="AD630" s="113"/>
      <c r="AE630" s="113"/>
      <c r="AF630" s="113"/>
      <c r="AG630" s="113"/>
      <c r="AH630" s="113"/>
      <c r="AI630" s="113"/>
      <c r="AJ630" s="113"/>
      <c r="AK630" s="113"/>
      <c r="AL630" s="113"/>
      <c r="AM630" s="113"/>
      <c r="AN630" s="113"/>
      <c r="AO630" s="113"/>
      <c r="AP630" s="113"/>
      <c r="AQ630" s="113"/>
      <c r="AR630" s="113"/>
      <c r="AS630" s="113"/>
      <c r="AT630" s="113"/>
      <c r="AU630" s="113"/>
      <c r="AV630" s="113"/>
      <c r="AW630" s="113"/>
      <c r="AX630" s="113"/>
      <c r="AY630" s="113"/>
      <c r="AZ630" s="113"/>
      <c r="BA630" s="113"/>
      <c r="BB630" s="113"/>
      <c r="BC630" s="113"/>
      <c r="BD630" s="113"/>
      <c r="BE630" s="113"/>
      <c r="BF630" s="113"/>
      <c r="BG630" s="113"/>
      <c r="BH630" s="113"/>
      <c r="BI630" s="113"/>
      <c r="BJ630" s="113"/>
      <c r="BK630" s="113"/>
      <c r="BL630" s="113"/>
      <c r="BM630" s="113"/>
      <c r="BN630" s="113"/>
      <c r="BO630" s="113"/>
      <c r="BP630" s="113"/>
      <c r="BQ630" s="113"/>
      <c r="BR630" s="113"/>
      <c r="BS630" s="113"/>
      <c r="BT630" s="113"/>
      <c r="BU630" s="113"/>
      <c r="BV630" s="113"/>
      <c r="BW630" s="113"/>
      <c r="BX630" s="113"/>
      <c r="BY630" s="113"/>
      <c r="BZ630" s="113"/>
      <c r="CA630" s="113"/>
      <c r="CB630" s="113"/>
      <c r="CC630" s="113"/>
      <c r="CD630" s="113"/>
      <c r="CE630" s="113"/>
      <c r="CF630" s="113"/>
      <c r="CG630" s="113"/>
      <c r="CH630" s="113"/>
      <c r="CI630" s="113"/>
      <c r="CJ630" s="113"/>
      <c r="CK630" s="113"/>
    </row>
    <row r="631" spans="1:89">
      <c r="A631" s="160"/>
      <c r="B631" s="129">
        <v>622</v>
      </c>
      <c r="C631" s="109" t="s">
        <v>441</v>
      </c>
      <c r="D631" s="123" t="s">
        <v>6</v>
      </c>
      <c r="E631" s="204">
        <v>22.5</v>
      </c>
      <c r="F631" s="147">
        <f>(1.52+3)*2*2.6</f>
        <v>23.503999999999998</v>
      </c>
      <c r="G631" s="147">
        <v>5.4</v>
      </c>
      <c r="H631" s="147"/>
      <c r="I631" s="205">
        <f t="shared" si="153"/>
        <v>0.54</v>
      </c>
      <c r="J631" s="147">
        <f t="shared" si="149"/>
        <v>126.9216</v>
      </c>
      <c r="K631" s="147">
        <f t="shared" si="150"/>
        <v>0</v>
      </c>
      <c r="L631" s="147">
        <f t="shared" si="151"/>
        <v>12.692159999999999</v>
      </c>
      <c r="M631" s="147">
        <f t="shared" si="152"/>
        <v>139.61375999999998</v>
      </c>
      <c r="CD631" s="104"/>
      <c r="CE631" s="104"/>
      <c r="CF631" s="104"/>
      <c r="CG631" s="104"/>
      <c r="CH631" s="104"/>
      <c r="CI631" s="104"/>
      <c r="CJ631" s="104"/>
      <c r="CK631" s="104"/>
    </row>
    <row r="632" spans="1:89" s="112" customFormat="1">
      <c r="A632" s="162"/>
      <c r="B632" s="129">
        <v>623</v>
      </c>
      <c r="C632" s="106" t="s">
        <v>57</v>
      </c>
      <c r="D632" s="124" t="s">
        <v>6</v>
      </c>
      <c r="E632" s="210">
        <v>24</v>
      </c>
      <c r="F632" s="205">
        <v>23.5</v>
      </c>
      <c r="G632" s="205"/>
      <c r="H632" s="205">
        <v>5.6</v>
      </c>
      <c r="I632" s="205">
        <f t="shared" si="153"/>
        <v>0.16799999999999998</v>
      </c>
      <c r="J632" s="147">
        <f t="shared" si="149"/>
        <v>0</v>
      </c>
      <c r="K632" s="147">
        <f t="shared" si="150"/>
        <v>131.6</v>
      </c>
      <c r="L632" s="147">
        <f t="shared" si="151"/>
        <v>3.9479999999999995</v>
      </c>
      <c r="M632" s="147">
        <f t="shared" si="152"/>
        <v>135.548</v>
      </c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  <c r="AA632" s="113"/>
      <c r="AB632" s="113"/>
      <c r="AC632" s="113"/>
      <c r="AD632" s="113"/>
      <c r="AE632" s="113"/>
      <c r="AF632" s="113"/>
      <c r="AG632" s="113"/>
      <c r="AH632" s="113"/>
      <c r="AI632" s="113"/>
      <c r="AJ632" s="113"/>
      <c r="AK632" s="113"/>
      <c r="AL632" s="113"/>
      <c r="AM632" s="113"/>
      <c r="AN632" s="113"/>
      <c r="AO632" s="113"/>
      <c r="AP632" s="113"/>
      <c r="AQ632" s="113"/>
      <c r="AR632" s="113"/>
      <c r="AS632" s="113"/>
      <c r="AT632" s="113"/>
      <c r="AU632" s="113"/>
      <c r="AV632" s="113"/>
      <c r="AW632" s="113"/>
      <c r="AX632" s="113"/>
      <c r="AY632" s="113"/>
      <c r="AZ632" s="113"/>
      <c r="BA632" s="113"/>
      <c r="BB632" s="113"/>
      <c r="BC632" s="113"/>
      <c r="BD632" s="113"/>
      <c r="BE632" s="113"/>
      <c r="BF632" s="113"/>
      <c r="BG632" s="113"/>
      <c r="BH632" s="113"/>
      <c r="BI632" s="113"/>
      <c r="BJ632" s="113"/>
      <c r="BK632" s="113"/>
      <c r="BL632" s="113"/>
      <c r="BM632" s="113"/>
      <c r="BN632" s="113"/>
      <c r="BO632" s="113"/>
      <c r="BP632" s="113"/>
      <c r="BQ632" s="113"/>
      <c r="BR632" s="113"/>
      <c r="BS632" s="113"/>
      <c r="BT632" s="113"/>
      <c r="BU632" s="113"/>
      <c r="BV632" s="113"/>
      <c r="BW632" s="113"/>
      <c r="BX632" s="113"/>
      <c r="BY632" s="113"/>
      <c r="BZ632" s="113"/>
      <c r="CA632" s="113"/>
      <c r="CB632" s="113"/>
      <c r="CC632" s="113"/>
      <c r="CD632" s="113"/>
      <c r="CE632" s="113"/>
      <c r="CF632" s="113"/>
      <c r="CG632" s="113"/>
      <c r="CH632" s="113"/>
      <c r="CI632" s="113"/>
      <c r="CJ632" s="113"/>
      <c r="CK632" s="113"/>
    </row>
    <row r="633" spans="1:89" s="112" customFormat="1">
      <c r="A633" s="162"/>
      <c r="B633" s="129">
        <v>624</v>
      </c>
      <c r="C633" s="106" t="s">
        <v>58</v>
      </c>
      <c r="D633" s="124" t="s">
        <v>47</v>
      </c>
      <c r="E633" s="210">
        <v>90</v>
      </c>
      <c r="F633" s="205">
        <f>4*F631</f>
        <v>94.015999999999991</v>
      </c>
      <c r="G633" s="205"/>
      <c r="H633" s="205">
        <v>0.23</v>
      </c>
      <c r="I633" s="205">
        <f t="shared" si="153"/>
        <v>6.8999999999999999E-3</v>
      </c>
      <c r="J633" s="147">
        <f t="shared" si="149"/>
        <v>0</v>
      </c>
      <c r="K633" s="147">
        <f t="shared" si="150"/>
        <v>21.62368</v>
      </c>
      <c r="L633" s="147">
        <f t="shared" si="151"/>
        <v>0.64871039999999991</v>
      </c>
      <c r="M633" s="147">
        <f t="shared" si="152"/>
        <v>22.272390399999999</v>
      </c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  <c r="AA633" s="113"/>
      <c r="AB633" s="113"/>
      <c r="AC633" s="113"/>
      <c r="AD633" s="113"/>
      <c r="AE633" s="113"/>
      <c r="AF633" s="113"/>
      <c r="AG633" s="113"/>
      <c r="AH633" s="113"/>
      <c r="AI633" s="113"/>
      <c r="AJ633" s="113"/>
      <c r="AK633" s="113"/>
      <c r="AL633" s="113"/>
      <c r="AM633" s="113"/>
      <c r="AN633" s="113"/>
      <c r="AO633" s="113"/>
      <c r="AP633" s="113"/>
      <c r="AQ633" s="113"/>
      <c r="AR633" s="113"/>
      <c r="AS633" s="113"/>
      <c r="AT633" s="113"/>
      <c r="AU633" s="113"/>
      <c r="AV633" s="113"/>
      <c r="AW633" s="113"/>
      <c r="AX633" s="113"/>
      <c r="AY633" s="113"/>
      <c r="AZ633" s="113"/>
      <c r="BA633" s="113"/>
      <c r="BB633" s="113"/>
      <c r="BC633" s="113"/>
      <c r="BD633" s="113"/>
      <c r="BE633" s="113"/>
      <c r="BF633" s="113"/>
      <c r="BG633" s="113"/>
      <c r="BH633" s="113"/>
      <c r="BI633" s="113"/>
      <c r="BJ633" s="113"/>
      <c r="BK633" s="113"/>
      <c r="BL633" s="113"/>
      <c r="BM633" s="113"/>
      <c r="BN633" s="113"/>
      <c r="BO633" s="113"/>
      <c r="BP633" s="113"/>
      <c r="BQ633" s="113"/>
      <c r="BR633" s="113"/>
      <c r="BS633" s="113"/>
      <c r="BT633" s="113"/>
      <c r="BU633" s="113"/>
      <c r="BV633" s="113"/>
      <c r="BW633" s="113"/>
      <c r="BX633" s="113"/>
      <c r="BY633" s="113"/>
      <c r="BZ633" s="113"/>
      <c r="CA633" s="113"/>
      <c r="CB633" s="113"/>
      <c r="CC633" s="113"/>
      <c r="CD633" s="113"/>
      <c r="CE633" s="113"/>
      <c r="CF633" s="113"/>
      <c r="CG633" s="113"/>
      <c r="CH633" s="113"/>
      <c r="CI633" s="113"/>
      <c r="CJ633" s="113"/>
      <c r="CK633" s="113"/>
    </row>
    <row r="634" spans="1:89" s="112" customFormat="1">
      <c r="A634" s="162"/>
      <c r="B634" s="129">
        <v>625</v>
      </c>
      <c r="C634" s="106" t="s">
        <v>59</v>
      </c>
      <c r="D634" s="124" t="s">
        <v>47</v>
      </c>
      <c r="E634" s="210">
        <v>23</v>
      </c>
      <c r="F634" s="205">
        <f>F632</f>
        <v>23.5</v>
      </c>
      <c r="G634" s="205"/>
      <c r="H634" s="205">
        <v>0.05</v>
      </c>
      <c r="I634" s="205">
        <f t="shared" si="153"/>
        <v>1.5E-3</v>
      </c>
      <c r="J634" s="147">
        <f t="shared" si="149"/>
        <v>0</v>
      </c>
      <c r="K634" s="147">
        <f t="shared" si="150"/>
        <v>1.175</v>
      </c>
      <c r="L634" s="147">
        <f t="shared" si="151"/>
        <v>3.5250000000000004E-2</v>
      </c>
      <c r="M634" s="147">
        <f t="shared" si="152"/>
        <v>1.21025</v>
      </c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  <c r="AA634" s="113"/>
      <c r="AB634" s="113"/>
      <c r="AC634" s="113"/>
      <c r="AD634" s="113"/>
      <c r="AE634" s="113"/>
      <c r="AF634" s="113"/>
      <c r="AG634" s="113"/>
      <c r="AH634" s="113"/>
      <c r="AI634" s="113"/>
      <c r="AJ634" s="113"/>
      <c r="AK634" s="113"/>
      <c r="AL634" s="113"/>
      <c r="AM634" s="113"/>
      <c r="AN634" s="113"/>
      <c r="AO634" s="113"/>
      <c r="AP634" s="113"/>
      <c r="AQ634" s="113"/>
      <c r="AR634" s="113"/>
      <c r="AS634" s="113"/>
      <c r="AT634" s="113"/>
      <c r="AU634" s="113"/>
      <c r="AV634" s="113"/>
      <c r="AW634" s="113"/>
      <c r="AX634" s="113"/>
      <c r="AY634" s="113"/>
      <c r="AZ634" s="113"/>
      <c r="BA634" s="113"/>
      <c r="BB634" s="113"/>
      <c r="BC634" s="113"/>
      <c r="BD634" s="113"/>
      <c r="BE634" s="113"/>
      <c r="BF634" s="113"/>
      <c r="BG634" s="113"/>
      <c r="BH634" s="113"/>
      <c r="BI634" s="113"/>
      <c r="BJ634" s="113"/>
      <c r="BK634" s="113"/>
      <c r="BL634" s="113"/>
      <c r="BM634" s="113"/>
      <c r="BN634" s="113"/>
      <c r="BO634" s="113"/>
      <c r="BP634" s="113"/>
      <c r="BQ634" s="113"/>
      <c r="BR634" s="113"/>
      <c r="BS634" s="113"/>
      <c r="BT634" s="113"/>
      <c r="BU634" s="113"/>
      <c r="BV634" s="113"/>
      <c r="BW634" s="113"/>
      <c r="BX634" s="113"/>
      <c r="BY634" s="113"/>
      <c r="BZ634" s="113"/>
      <c r="CA634" s="113"/>
      <c r="CB634" s="113"/>
      <c r="CC634" s="113"/>
      <c r="CD634" s="113"/>
      <c r="CE634" s="113"/>
      <c r="CF634" s="113"/>
      <c r="CG634" s="113"/>
      <c r="CH634" s="113"/>
      <c r="CI634" s="113"/>
      <c r="CJ634" s="113"/>
      <c r="CK634" s="113"/>
    </row>
    <row r="635" spans="1:89" s="112" customFormat="1">
      <c r="A635" s="162"/>
      <c r="B635" s="129">
        <v>626</v>
      </c>
      <c r="C635" s="106" t="s">
        <v>85</v>
      </c>
      <c r="D635" s="124" t="s">
        <v>11</v>
      </c>
      <c r="E635" s="210">
        <v>4</v>
      </c>
      <c r="F635" s="205">
        <v>5</v>
      </c>
      <c r="G635" s="205"/>
      <c r="H635" s="205">
        <v>2.19</v>
      </c>
      <c r="I635" s="205">
        <f t="shared" si="153"/>
        <v>6.5699999999999995E-2</v>
      </c>
      <c r="J635" s="147">
        <f t="shared" si="149"/>
        <v>0</v>
      </c>
      <c r="K635" s="147">
        <f t="shared" si="150"/>
        <v>10.95</v>
      </c>
      <c r="L635" s="147">
        <f t="shared" si="151"/>
        <v>0.32849999999999996</v>
      </c>
      <c r="M635" s="147">
        <f t="shared" si="152"/>
        <v>11.278499999999999</v>
      </c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  <c r="AA635" s="113"/>
      <c r="AB635" s="113"/>
      <c r="AC635" s="113"/>
      <c r="AD635" s="113"/>
      <c r="AE635" s="113"/>
      <c r="AF635" s="113"/>
      <c r="AG635" s="113"/>
      <c r="AH635" s="113"/>
      <c r="AI635" s="113"/>
      <c r="AJ635" s="113"/>
      <c r="AK635" s="113"/>
      <c r="AL635" s="113"/>
      <c r="AM635" s="113"/>
      <c r="AN635" s="113"/>
      <c r="AO635" s="113"/>
      <c r="AP635" s="113"/>
      <c r="AQ635" s="113"/>
      <c r="AR635" s="113"/>
      <c r="AS635" s="113"/>
      <c r="AT635" s="113"/>
      <c r="AU635" s="113"/>
      <c r="AV635" s="113"/>
      <c r="AW635" s="113"/>
      <c r="AX635" s="113"/>
      <c r="AY635" s="113"/>
      <c r="AZ635" s="113"/>
      <c r="BA635" s="113"/>
      <c r="BB635" s="113"/>
      <c r="BC635" s="113"/>
      <c r="BD635" s="113"/>
      <c r="BE635" s="113"/>
      <c r="BF635" s="113"/>
      <c r="BG635" s="113"/>
      <c r="BH635" s="113"/>
      <c r="BI635" s="113"/>
      <c r="BJ635" s="113"/>
      <c r="BK635" s="113"/>
      <c r="BL635" s="113"/>
      <c r="BM635" s="113"/>
      <c r="BN635" s="113"/>
      <c r="BO635" s="113"/>
      <c r="BP635" s="113"/>
      <c r="BQ635" s="113"/>
      <c r="BR635" s="113"/>
      <c r="BS635" s="113"/>
      <c r="BT635" s="113"/>
      <c r="BU635" s="113"/>
      <c r="BV635" s="113"/>
      <c r="BW635" s="113"/>
      <c r="BX635" s="113"/>
      <c r="BY635" s="113"/>
      <c r="BZ635" s="113"/>
      <c r="CA635" s="113"/>
      <c r="CB635" s="113"/>
      <c r="CC635" s="113"/>
      <c r="CD635" s="113"/>
      <c r="CE635" s="113"/>
      <c r="CF635" s="113"/>
      <c r="CG635" s="113"/>
      <c r="CH635" s="113"/>
      <c r="CI635" s="113"/>
      <c r="CJ635" s="113"/>
      <c r="CK635" s="113"/>
    </row>
    <row r="636" spans="1:89">
      <c r="B636" s="129">
        <v>627</v>
      </c>
      <c r="C636" s="109" t="s">
        <v>418</v>
      </c>
      <c r="D636" s="181" t="s">
        <v>6</v>
      </c>
      <c r="E636" s="172">
        <v>21.5</v>
      </c>
      <c r="F636" s="147">
        <v>4.5</v>
      </c>
      <c r="G636" s="211">
        <v>1.7</v>
      </c>
      <c r="H636" s="211"/>
      <c r="I636" s="147">
        <f t="shared" si="153"/>
        <v>0.17</v>
      </c>
      <c r="J636" s="147">
        <f t="shared" si="149"/>
        <v>7.6499999999999995</v>
      </c>
      <c r="K636" s="147">
        <f t="shared" si="150"/>
        <v>0</v>
      </c>
      <c r="L636" s="147">
        <f t="shared" si="151"/>
        <v>0.76500000000000001</v>
      </c>
      <c r="M636" s="147">
        <f t="shared" si="152"/>
        <v>8.4149999999999991</v>
      </c>
      <c r="CD636" s="104"/>
      <c r="CE636" s="104"/>
      <c r="CF636" s="104"/>
      <c r="CG636" s="104"/>
      <c r="CH636" s="104"/>
      <c r="CI636" s="104"/>
      <c r="CJ636" s="104"/>
      <c r="CK636" s="104"/>
    </row>
    <row r="637" spans="1:89">
      <c r="B637" s="129">
        <v>628</v>
      </c>
      <c r="C637" s="106" t="s">
        <v>97</v>
      </c>
      <c r="D637" s="180" t="s">
        <v>6</v>
      </c>
      <c r="E637" s="172">
        <v>13</v>
      </c>
      <c r="F637" s="147">
        <f>F636*1.03</f>
        <v>4.6349999999999998</v>
      </c>
      <c r="G637" s="211"/>
      <c r="H637" s="211">
        <v>14.9</v>
      </c>
      <c r="I637" s="205">
        <f t="shared" si="153"/>
        <v>0.44700000000000001</v>
      </c>
      <c r="J637" s="147">
        <f t="shared" si="149"/>
        <v>0</v>
      </c>
      <c r="K637" s="147">
        <f t="shared" si="150"/>
        <v>69.061499999999995</v>
      </c>
      <c r="L637" s="147">
        <f t="shared" si="151"/>
        <v>2.0718450000000002</v>
      </c>
      <c r="M637" s="147">
        <f t="shared" si="152"/>
        <v>71.133344999999991</v>
      </c>
      <c r="CD637" s="104"/>
      <c r="CE637" s="104"/>
      <c r="CF637" s="104"/>
      <c r="CG637" s="104"/>
      <c r="CH637" s="104"/>
      <c r="CI637" s="104"/>
      <c r="CJ637" s="104"/>
      <c r="CK637" s="104"/>
    </row>
    <row r="638" spans="1:89">
      <c r="A638" s="160"/>
      <c r="B638" s="129">
        <v>629</v>
      </c>
      <c r="C638" s="131" t="s">
        <v>410</v>
      </c>
      <c r="D638" s="123" t="s">
        <v>114</v>
      </c>
      <c r="E638" s="204">
        <v>252</v>
      </c>
      <c r="F638" s="147"/>
      <c r="G638" s="147">
        <v>1.1000000000000001</v>
      </c>
      <c r="H638" s="147"/>
      <c r="I638" s="205">
        <f t="shared" si="153"/>
        <v>0.11000000000000001</v>
      </c>
      <c r="J638" s="147">
        <f t="shared" si="149"/>
        <v>0</v>
      </c>
      <c r="K638" s="147">
        <f t="shared" si="150"/>
        <v>0</v>
      </c>
      <c r="L638" s="147">
        <f t="shared" si="151"/>
        <v>0</v>
      </c>
      <c r="M638" s="147">
        <f t="shared" si="152"/>
        <v>0</v>
      </c>
      <c r="CD638" s="104"/>
      <c r="CE638" s="104"/>
      <c r="CF638" s="104"/>
      <c r="CG638" s="104"/>
      <c r="CH638" s="104"/>
      <c r="CI638" s="104"/>
      <c r="CJ638" s="104"/>
      <c r="CK638" s="104"/>
    </row>
    <row r="639" spans="1:89" s="107" customFormat="1">
      <c r="A639" s="159"/>
      <c r="B639" s="129">
        <v>630</v>
      </c>
      <c r="C639" s="145" t="s">
        <v>485</v>
      </c>
      <c r="D639" s="122"/>
      <c r="E639" s="207"/>
      <c r="F639" s="208"/>
      <c r="G639" s="208"/>
      <c r="H639" s="208"/>
      <c r="I639" s="206"/>
      <c r="J639" s="147">
        <f t="shared" ref="J639:J656" si="154">F639*G639</f>
        <v>0</v>
      </c>
      <c r="K639" s="147">
        <f t="shared" ref="K639:K656" si="155">F639*H639</f>
        <v>0</v>
      </c>
      <c r="L639" s="147">
        <f t="shared" ref="L639:L656" si="156">F639*I639</f>
        <v>0</v>
      </c>
      <c r="M639" s="147">
        <f t="shared" ref="M639:M656" si="157">J639+K639+L639</f>
        <v>0</v>
      </c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  <c r="AD639" s="108"/>
      <c r="AE639" s="108"/>
      <c r="AF639" s="108"/>
      <c r="AG639" s="108"/>
      <c r="AH639" s="108"/>
      <c r="AI639" s="108"/>
      <c r="AJ639" s="108"/>
      <c r="AK639" s="108"/>
      <c r="AL639" s="108"/>
      <c r="AM639" s="108"/>
      <c r="AN639" s="108"/>
      <c r="AO639" s="108"/>
      <c r="AP639" s="108"/>
      <c r="AQ639" s="108"/>
      <c r="AR639" s="108"/>
      <c r="AS639" s="108"/>
      <c r="AT639" s="108"/>
      <c r="AU639" s="108"/>
      <c r="AV639" s="108"/>
      <c r="AW639" s="108"/>
      <c r="AX639" s="108"/>
      <c r="AY639" s="108"/>
      <c r="AZ639" s="108"/>
      <c r="BA639" s="108"/>
      <c r="BB639" s="108"/>
      <c r="BC639" s="108"/>
      <c r="BD639" s="108"/>
      <c r="BE639" s="108"/>
      <c r="BF639" s="108"/>
      <c r="BG639" s="108"/>
      <c r="BH639" s="108"/>
      <c r="BI639" s="108"/>
      <c r="BJ639" s="108"/>
      <c r="BK639" s="108"/>
      <c r="BL639" s="108"/>
      <c r="BM639" s="108"/>
      <c r="BN639" s="108"/>
      <c r="BO639" s="108"/>
      <c r="BP639" s="108"/>
      <c r="BQ639" s="108"/>
      <c r="BR639" s="108"/>
      <c r="BS639" s="108"/>
      <c r="BT639" s="108"/>
      <c r="BU639" s="108"/>
      <c r="BV639" s="108"/>
      <c r="BW639" s="108"/>
      <c r="BX639" s="108"/>
      <c r="BY639" s="108"/>
      <c r="BZ639" s="108"/>
      <c r="CA639" s="108"/>
      <c r="CB639" s="108"/>
      <c r="CC639" s="108"/>
      <c r="CD639" s="108"/>
      <c r="CE639" s="108"/>
      <c r="CF639" s="108"/>
      <c r="CG639" s="108"/>
      <c r="CH639" s="108"/>
      <c r="CI639" s="108"/>
      <c r="CJ639" s="108"/>
      <c r="CK639" s="108"/>
    </row>
    <row r="640" spans="1:89" ht="24">
      <c r="A640" s="160"/>
      <c r="B640" s="129">
        <v>631</v>
      </c>
      <c r="C640" s="143" t="s">
        <v>484</v>
      </c>
      <c r="D640" s="123" t="s">
        <v>6</v>
      </c>
      <c r="E640" s="204">
        <v>249</v>
      </c>
      <c r="F640" s="147">
        <v>2.25</v>
      </c>
      <c r="G640" s="147">
        <v>2.0499999999999998</v>
      </c>
      <c r="H640" s="147"/>
      <c r="I640" s="205">
        <f t="shared" si="153"/>
        <v>0.20499999999999999</v>
      </c>
      <c r="J640" s="147">
        <f t="shared" si="154"/>
        <v>4.6124999999999998</v>
      </c>
      <c r="K640" s="147">
        <f t="shared" si="155"/>
        <v>0</v>
      </c>
      <c r="L640" s="147">
        <f t="shared" si="156"/>
        <v>0.46124999999999999</v>
      </c>
      <c r="M640" s="147">
        <f t="shared" si="157"/>
        <v>5.0737499999999995</v>
      </c>
      <c r="CD640" s="104"/>
      <c r="CE640" s="104"/>
      <c r="CF640" s="104"/>
      <c r="CG640" s="104"/>
      <c r="CH640" s="104"/>
      <c r="CI640" s="104"/>
      <c r="CJ640" s="104"/>
      <c r="CK640" s="104"/>
    </row>
    <row r="641" spans="1:89" s="112" customFormat="1">
      <c r="B641" s="129">
        <v>632</v>
      </c>
      <c r="C641" s="106" t="s">
        <v>391</v>
      </c>
      <c r="D641" s="124" t="s">
        <v>502</v>
      </c>
      <c r="E641" s="117"/>
      <c r="F641" s="205">
        <v>0.05</v>
      </c>
      <c r="G641" s="205"/>
      <c r="H641" s="205">
        <v>5.17</v>
      </c>
      <c r="I641" s="205">
        <f t="shared" si="153"/>
        <v>0.15509999999999999</v>
      </c>
      <c r="J641" s="147">
        <f t="shared" si="154"/>
        <v>0</v>
      </c>
      <c r="K641" s="147">
        <f t="shared" si="155"/>
        <v>0.25850000000000001</v>
      </c>
      <c r="L641" s="147">
        <f t="shared" si="156"/>
        <v>7.7549999999999997E-3</v>
      </c>
      <c r="M641" s="147">
        <f t="shared" si="157"/>
        <v>0.26625500000000002</v>
      </c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  <c r="AA641" s="113"/>
      <c r="AB641" s="113"/>
      <c r="AC641" s="113"/>
      <c r="AD641" s="113"/>
      <c r="AE641" s="113"/>
      <c r="AF641" s="113"/>
      <c r="AG641" s="113"/>
      <c r="AH641" s="113"/>
      <c r="AI641" s="113"/>
      <c r="AJ641" s="113"/>
      <c r="AK641" s="113"/>
      <c r="AL641" s="113"/>
      <c r="AM641" s="113"/>
      <c r="AN641" s="113"/>
      <c r="AO641" s="113"/>
      <c r="AP641" s="113"/>
      <c r="AQ641" s="113"/>
      <c r="AR641" s="113"/>
      <c r="AS641" s="113"/>
      <c r="AT641" s="113"/>
      <c r="AU641" s="113"/>
      <c r="AV641" s="113"/>
      <c r="AW641" s="113"/>
      <c r="AX641" s="113"/>
      <c r="AY641" s="113"/>
      <c r="AZ641" s="113"/>
      <c r="BA641" s="113"/>
      <c r="BB641" s="113"/>
      <c r="BC641" s="113"/>
      <c r="BD641" s="113"/>
      <c r="BE641" s="113"/>
      <c r="BF641" s="113"/>
      <c r="BG641" s="113"/>
      <c r="BH641" s="113"/>
      <c r="BI641" s="113"/>
      <c r="BJ641" s="113"/>
      <c r="BK641" s="113"/>
      <c r="BL641" s="113"/>
      <c r="BM641" s="113"/>
      <c r="BN641" s="113"/>
      <c r="BO641" s="113"/>
      <c r="BP641" s="113"/>
      <c r="BQ641" s="113"/>
      <c r="BR641" s="113"/>
      <c r="BS641" s="113"/>
      <c r="BT641" s="113"/>
      <c r="BU641" s="113"/>
      <c r="BV641" s="113"/>
      <c r="BW641" s="113"/>
      <c r="BX641" s="113"/>
      <c r="BY641" s="113"/>
      <c r="BZ641" s="113"/>
      <c r="CA641" s="113"/>
      <c r="CB641" s="113"/>
      <c r="CC641" s="113"/>
      <c r="CD641" s="113"/>
      <c r="CE641" s="113"/>
      <c r="CF641" s="113"/>
      <c r="CG641" s="113"/>
      <c r="CH641" s="113"/>
      <c r="CI641" s="113"/>
      <c r="CJ641" s="113"/>
      <c r="CK641" s="113"/>
    </row>
    <row r="642" spans="1:89" s="112" customFormat="1">
      <c r="A642" s="162"/>
      <c r="B642" s="129">
        <v>633</v>
      </c>
      <c r="C642" s="106" t="s">
        <v>108</v>
      </c>
      <c r="D642" s="124" t="s">
        <v>47</v>
      </c>
      <c r="E642" s="210">
        <v>200</v>
      </c>
      <c r="F642" s="205">
        <f>1.5*F640</f>
        <v>3.375</v>
      </c>
      <c r="G642" s="205"/>
      <c r="H642" s="205">
        <v>0.6</v>
      </c>
      <c r="I642" s="205">
        <f t="shared" si="153"/>
        <v>1.7999999999999999E-2</v>
      </c>
      <c r="J642" s="147">
        <f t="shared" si="154"/>
        <v>0</v>
      </c>
      <c r="K642" s="147">
        <f t="shared" si="155"/>
        <v>2.0249999999999999</v>
      </c>
      <c r="L642" s="147">
        <f t="shared" si="156"/>
        <v>6.0749999999999998E-2</v>
      </c>
      <c r="M642" s="147">
        <f t="shared" si="157"/>
        <v>2.08575</v>
      </c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  <c r="AA642" s="113"/>
      <c r="AB642" s="113"/>
      <c r="AC642" s="113"/>
      <c r="AD642" s="113"/>
      <c r="AE642" s="113"/>
      <c r="AF642" s="113"/>
      <c r="AG642" s="113"/>
      <c r="AH642" s="113"/>
      <c r="AI642" s="113"/>
      <c r="AJ642" s="113"/>
      <c r="AK642" s="113"/>
      <c r="AL642" s="113"/>
      <c r="AM642" s="113"/>
      <c r="AN642" s="113"/>
      <c r="AO642" s="113"/>
      <c r="AP642" s="113"/>
      <c r="AQ642" s="113"/>
      <c r="AR642" s="113"/>
      <c r="AS642" s="113"/>
      <c r="AT642" s="113"/>
      <c r="AU642" s="113"/>
      <c r="AV642" s="113"/>
      <c r="AW642" s="113"/>
      <c r="AX642" s="113"/>
      <c r="AY642" s="113"/>
      <c r="AZ642" s="113"/>
      <c r="BA642" s="113"/>
      <c r="BB642" s="113"/>
      <c r="BC642" s="113"/>
      <c r="BD642" s="113"/>
      <c r="BE642" s="113"/>
      <c r="BF642" s="113"/>
      <c r="BG642" s="113"/>
      <c r="BH642" s="113"/>
      <c r="BI642" s="113"/>
      <c r="BJ642" s="113"/>
      <c r="BK642" s="113"/>
      <c r="BL642" s="113"/>
      <c r="BM642" s="113"/>
      <c r="BN642" s="113"/>
      <c r="BO642" s="113"/>
      <c r="BP642" s="113"/>
      <c r="BQ642" s="113"/>
      <c r="BR642" s="113"/>
      <c r="BS642" s="113"/>
      <c r="BT642" s="113"/>
      <c r="BU642" s="113"/>
      <c r="BV642" s="113"/>
      <c r="BW642" s="113"/>
      <c r="BX642" s="113"/>
      <c r="BY642" s="113"/>
      <c r="BZ642" s="113"/>
      <c r="CA642" s="113"/>
      <c r="CB642" s="113"/>
      <c r="CC642" s="113"/>
      <c r="CD642" s="113"/>
      <c r="CE642" s="113"/>
      <c r="CF642" s="113"/>
      <c r="CG642" s="113"/>
      <c r="CH642" s="113"/>
      <c r="CI642" s="113"/>
      <c r="CJ642" s="113"/>
      <c r="CK642" s="113"/>
    </row>
    <row r="643" spans="1:89" s="112" customFormat="1">
      <c r="A643" s="162"/>
      <c r="B643" s="129">
        <v>634</v>
      </c>
      <c r="C643" s="106" t="s">
        <v>110</v>
      </c>
      <c r="D643" s="124" t="s">
        <v>47</v>
      </c>
      <c r="E643" s="210">
        <v>382</v>
      </c>
      <c r="F643" s="205">
        <v>1</v>
      </c>
      <c r="G643" s="205"/>
      <c r="H643" s="205">
        <v>1.59</v>
      </c>
      <c r="I643" s="205">
        <f t="shared" si="153"/>
        <v>4.7699999999999999E-2</v>
      </c>
      <c r="J643" s="147">
        <f t="shared" si="154"/>
        <v>0</v>
      </c>
      <c r="K643" s="147">
        <f t="shared" si="155"/>
        <v>1.59</v>
      </c>
      <c r="L643" s="147">
        <f t="shared" si="156"/>
        <v>4.7699999999999999E-2</v>
      </c>
      <c r="M643" s="147">
        <f t="shared" si="157"/>
        <v>1.6377000000000002</v>
      </c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  <c r="AA643" s="113"/>
      <c r="AB643" s="113"/>
      <c r="AC643" s="113"/>
      <c r="AD643" s="113"/>
      <c r="AE643" s="113"/>
      <c r="AF643" s="113"/>
      <c r="AG643" s="113"/>
      <c r="AH643" s="113"/>
      <c r="AI643" s="113"/>
      <c r="AJ643" s="113"/>
      <c r="AK643" s="113"/>
      <c r="AL643" s="113"/>
      <c r="AM643" s="113"/>
      <c r="AN643" s="113"/>
      <c r="AO643" s="113"/>
      <c r="AP643" s="113"/>
      <c r="AQ643" s="113"/>
      <c r="AR643" s="113"/>
      <c r="AS643" s="113"/>
      <c r="AT643" s="113"/>
      <c r="AU643" s="113"/>
      <c r="AV643" s="113"/>
      <c r="AW643" s="113"/>
      <c r="AX643" s="113"/>
      <c r="AY643" s="113"/>
      <c r="AZ643" s="113"/>
      <c r="BA643" s="113"/>
      <c r="BB643" s="113"/>
      <c r="BC643" s="113"/>
      <c r="BD643" s="113"/>
      <c r="BE643" s="113"/>
      <c r="BF643" s="113"/>
      <c r="BG643" s="113"/>
      <c r="BH643" s="113"/>
      <c r="BI643" s="113"/>
      <c r="BJ643" s="113"/>
      <c r="BK643" s="113"/>
      <c r="BL643" s="113"/>
      <c r="BM643" s="113"/>
      <c r="BN643" s="113"/>
      <c r="BO643" s="113"/>
      <c r="BP643" s="113"/>
      <c r="BQ643" s="113"/>
      <c r="BR643" s="113"/>
      <c r="BS643" s="113"/>
      <c r="BT643" s="113"/>
      <c r="BU643" s="113"/>
      <c r="BV643" s="113"/>
      <c r="BW643" s="113"/>
      <c r="BX643" s="113"/>
      <c r="BY643" s="113"/>
      <c r="BZ643" s="113"/>
      <c r="CA643" s="113"/>
      <c r="CB643" s="113"/>
      <c r="CC643" s="113"/>
      <c r="CD643" s="113"/>
      <c r="CE643" s="113"/>
      <c r="CF643" s="113"/>
      <c r="CG643" s="113"/>
      <c r="CH643" s="113"/>
      <c r="CI643" s="113"/>
      <c r="CJ643" s="113"/>
      <c r="CK643" s="113"/>
    </row>
    <row r="644" spans="1:89" ht="25.5" customHeight="1">
      <c r="B644" s="129">
        <v>635</v>
      </c>
      <c r="C644" s="146" t="s">
        <v>442</v>
      </c>
      <c r="D644" s="123" t="s">
        <v>6</v>
      </c>
      <c r="E644" s="129"/>
      <c r="F644" s="147">
        <v>12.6</v>
      </c>
      <c r="G644" s="147">
        <v>1.3</v>
      </c>
      <c r="H644" s="147"/>
      <c r="I644" s="205">
        <f>(G644*0.1)+(H644*0.03)</f>
        <v>0.13</v>
      </c>
      <c r="J644" s="147">
        <f t="shared" si="154"/>
        <v>16.38</v>
      </c>
      <c r="K644" s="147">
        <f t="shared" si="155"/>
        <v>0</v>
      </c>
      <c r="L644" s="147">
        <f t="shared" si="156"/>
        <v>1.6379999999999999</v>
      </c>
      <c r="M644" s="147">
        <f t="shared" si="157"/>
        <v>18.018000000000001</v>
      </c>
      <c r="CD644" s="104"/>
      <c r="CE644" s="104"/>
      <c r="CF644" s="104"/>
      <c r="CG644" s="104"/>
      <c r="CH644" s="104"/>
      <c r="CI644" s="104"/>
      <c r="CJ644" s="104"/>
      <c r="CK644" s="104"/>
    </row>
    <row r="645" spans="1:89" s="112" customFormat="1" ht="12.75" customHeight="1">
      <c r="B645" s="129">
        <v>636</v>
      </c>
      <c r="C645" s="118" t="s">
        <v>339</v>
      </c>
      <c r="D645" s="124"/>
      <c r="E645" s="117"/>
      <c r="F645" s="205">
        <f>8.1*1.15</f>
        <v>9.3149999999999995</v>
      </c>
      <c r="G645" s="205"/>
      <c r="H645" s="205">
        <v>1.1000000000000001</v>
      </c>
      <c r="I645" s="205">
        <f>(G645*0.1)+(H645*0.03)</f>
        <v>3.3000000000000002E-2</v>
      </c>
      <c r="J645" s="147">
        <f t="shared" si="154"/>
        <v>0</v>
      </c>
      <c r="K645" s="147">
        <f t="shared" si="155"/>
        <v>10.246500000000001</v>
      </c>
      <c r="L645" s="147">
        <f t="shared" si="156"/>
        <v>0.30739499999999997</v>
      </c>
      <c r="M645" s="147">
        <f t="shared" si="157"/>
        <v>10.553895000000001</v>
      </c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  <c r="AA645" s="113"/>
      <c r="AB645" s="113"/>
      <c r="AC645" s="113"/>
      <c r="AD645" s="113"/>
      <c r="AE645" s="113"/>
      <c r="AF645" s="113"/>
      <c r="AG645" s="113"/>
      <c r="AH645" s="113"/>
      <c r="AI645" s="113"/>
      <c r="AJ645" s="113"/>
      <c r="AK645" s="113"/>
      <c r="AL645" s="113"/>
      <c r="AM645" s="113"/>
      <c r="AN645" s="113"/>
      <c r="AO645" s="113"/>
      <c r="AP645" s="113"/>
      <c r="AQ645" s="113"/>
      <c r="AR645" s="113"/>
      <c r="AS645" s="113"/>
      <c r="AT645" s="113"/>
      <c r="AU645" s="113"/>
      <c r="AV645" s="113"/>
      <c r="AW645" s="113"/>
      <c r="AX645" s="113"/>
      <c r="AY645" s="113"/>
      <c r="AZ645" s="113"/>
      <c r="BA645" s="113"/>
      <c r="BB645" s="113"/>
      <c r="BC645" s="113"/>
      <c r="BD645" s="113"/>
      <c r="BE645" s="113"/>
      <c r="BF645" s="113"/>
      <c r="BG645" s="113"/>
      <c r="BH645" s="113"/>
      <c r="BI645" s="113"/>
      <c r="BJ645" s="113"/>
      <c r="BK645" s="113"/>
      <c r="BL645" s="113"/>
      <c r="BM645" s="113"/>
      <c r="BN645" s="113"/>
      <c r="BO645" s="113"/>
      <c r="BP645" s="113"/>
      <c r="BQ645" s="113"/>
      <c r="BR645" s="113"/>
      <c r="BS645" s="113"/>
      <c r="BT645" s="113"/>
      <c r="BU645" s="113"/>
      <c r="BV645" s="113"/>
      <c r="BW645" s="113"/>
      <c r="BX645" s="113"/>
      <c r="BY645" s="113"/>
      <c r="BZ645" s="113"/>
      <c r="CA645" s="113"/>
      <c r="CB645" s="113"/>
      <c r="CC645" s="113"/>
      <c r="CD645" s="113"/>
      <c r="CE645" s="113"/>
      <c r="CF645" s="113"/>
      <c r="CG645" s="113"/>
      <c r="CH645" s="113"/>
      <c r="CI645" s="113"/>
      <c r="CJ645" s="113"/>
      <c r="CK645" s="113"/>
    </row>
    <row r="646" spans="1:89" s="112" customFormat="1" ht="13.5" customHeight="1">
      <c r="B646" s="129">
        <v>637</v>
      </c>
      <c r="C646" s="118" t="s">
        <v>332</v>
      </c>
      <c r="D646" s="124"/>
      <c r="E646" s="117"/>
      <c r="F646" s="205">
        <v>9.3149999999999995</v>
      </c>
      <c r="G646" s="205"/>
      <c r="H646" s="205">
        <v>1.5</v>
      </c>
      <c r="I646" s="205">
        <f>(G646*0.1)+(H646*0.03)</f>
        <v>4.4999999999999998E-2</v>
      </c>
      <c r="J646" s="147">
        <f t="shared" si="154"/>
        <v>0</v>
      </c>
      <c r="K646" s="147">
        <f t="shared" si="155"/>
        <v>13.9725</v>
      </c>
      <c r="L646" s="147">
        <f t="shared" si="156"/>
        <v>0.41917499999999996</v>
      </c>
      <c r="M646" s="147">
        <f t="shared" si="157"/>
        <v>14.391674999999999</v>
      </c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  <c r="AA646" s="113"/>
      <c r="AB646" s="113"/>
      <c r="AC646" s="113"/>
      <c r="AD646" s="113"/>
      <c r="AE646" s="113"/>
      <c r="AF646" s="113"/>
      <c r="AG646" s="113"/>
      <c r="AH646" s="113"/>
      <c r="AI646" s="113"/>
      <c r="AJ646" s="113"/>
      <c r="AK646" s="113"/>
      <c r="AL646" s="113"/>
      <c r="AM646" s="113"/>
      <c r="AN646" s="113"/>
      <c r="AO646" s="113"/>
      <c r="AP646" s="113"/>
      <c r="AQ646" s="113"/>
      <c r="AR646" s="113"/>
      <c r="AS646" s="113"/>
      <c r="AT646" s="113"/>
      <c r="AU646" s="113"/>
      <c r="AV646" s="113"/>
      <c r="AW646" s="113"/>
      <c r="AX646" s="113"/>
      <c r="AY646" s="113"/>
      <c r="AZ646" s="113"/>
      <c r="BA646" s="113"/>
      <c r="BB646" s="113"/>
      <c r="BC646" s="113"/>
      <c r="BD646" s="113"/>
      <c r="BE646" s="113"/>
      <c r="BF646" s="113"/>
      <c r="BG646" s="113"/>
      <c r="BH646" s="113"/>
      <c r="BI646" s="113"/>
      <c r="BJ646" s="113"/>
      <c r="BK646" s="113"/>
      <c r="BL646" s="113"/>
      <c r="BM646" s="113"/>
      <c r="BN646" s="113"/>
      <c r="BO646" s="113"/>
      <c r="BP646" s="113"/>
      <c r="BQ646" s="113"/>
      <c r="BR646" s="113"/>
      <c r="BS646" s="113"/>
      <c r="BT646" s="113"/>
      <c r="BU646" s="113"/>
      <c r="BV646" s="113"/>
      <c r="BW646" s="113"/>
      <c r="BX646" s="113"/>
      <c r="BY646" s="113"/>
      <c r="BZ646" s="113"/>
      <c r="CA646" s="113"/>
      <c r="CB646" s="113"/>
      <c r="CC646" s="113"/>
      <c r="CD646" s="113"/>
      <c r="CE646" s="113"/>
      <c r="CF646" s="113"/>
      <c r="CG646" s="113"/>
      <c r="CH646" s="113"/>
      <c r="CI646" s="113"/>
      <c r="CJ646" s="113"/>
      <c r="CK646" s="113"/>
    </row>
    <row r="647" spans="1:89">
      <c r="B647" s="129">
        <v>638</v>
      </c>
      <c r="C647" s="106" t="s">
        <v>392</v>
      </c>
      <c r="D647" s="123"/>
      <c r="E647" s="129"/>
      <c r="F647" s="147">
        <f>1.5*4.5</f>
        <v>6.75</v>
      </c>
      <c r="G647" s="147"/>
      <c r="H647" s="147">
        <v>0.65</v>
      </c>
      <c r="I647" s="205">
        <f>(G647*0.1)+(H647*0.03)</f>
        <v>1.95E-2</v>
      </c>
      <c r="J647" s="147">
        <f t="shared" si="154"/>
        <v>0</v>
      </c>
      <c r="K647" s="147">
        <f t="shared" si="155"/>
        <v>4.3875000000000002</v>
      </c>
      <c r="L647" s="147">
        <f t="shared" si="156"/>
        <v>0.13162499999999999</v>
      </c>
      <c r="M647" s="147">
        <f t="shared" si="157"/>
        <v>4.5191249999999998</v>
      </c>
      <c r="CD647" s="104"/>
      <c r="CE647" s="104"/>
      <c r="CF647" s="104"/>
      <c r="CG647" s="104"/>
      <c r="CH647" s="104"/>
      <c r="CI647" s="104"/>
      <c r="CJ647" s="104"/>
      <c r="CK647" s="104"/>
    </row>
    <row r="648" spans="1:89">
      <c r="B648" s="129">
        <v>639</v>
      </c>
      <c r="C648" s="131" t="s">
        <v>331</v>
      </c>
      <c r="D648" s="123" t="s">
        <v>273</v>
      </c>
      <c r="E648" s="129"/>
      <c r="F648" s="147">
        <v>4.3</v>
      </c>
      <c r="G648" s="147">
        <v>0.85</v>
      </c>
      <c r="H648" s="147"/>
      <c r="I648" s="205">
        <f t="shared" si="153"/>
        <v>8.5000000000000006E-2</v>
      </c>
      <c r="J648" s="147">
        <f t="shared" si="154"/>
        <v>3.6549999999999998</v>
      </c>
      <c r="K648" s="147">
        <f t="shared" si="155"/>
        <v>0</v>
      </c>
      <c r="L648" s="147">
        <f t="shared" si="156"/>
        <v>0.36549999999999999</v>
      </c>
      <c r="M648" s="147">
        <f t="shared" si="157"/>
        <v>4.0205000000000002</v>
      </c>
      <c r="CD648" s="104"/>
      <c r="CE648" s="104"/>
      <c r="CF648" s="104"/>
      <c r="CG648" s="104"/>
      <c r="CH648" s="104"/>
      <c r="CI648" s="104"/>
      <c r="CJ648" s="104"/>
      <c r="CK648" s="104"/>
    </row>
    <row r="649" spans="1:89">
      <c r="B649" s="129">
        <v>640</v>
      </c>
      <c r="C649" s="106" t="s">
        <v>402</v>
      </c>
      <c r="D649" s="123" t="s">
        <v>273</v>
      </c>
      <c r="E649" s="129"/>
      <c r="F649" s="147">
        <v>4.3</v>
      </c>
      <c r="G649" s="147"/>
      <c r="H649" s="147">
        <v>0.75</v>
      </c>
      <c r="I649" s="205">
        <f t="shared" si="153"/>
        <v>2.2499999999999999E-2</v>
      </c>
      <c r="J649" s="147">
        <f t="shared" si="154"/>
        <v>0</v>
      </c>
      <c r="K649" s="147">
        <f t="shared" si="155"/>
        <v>3.2249999999999996</v>
      </c>
      <c r="L649" s="147">
        <f t="shared" si="156"/>
        <v>9.6749999999999989E-2</v>
      </c>
      <c r="M649" s="147">
        <f t="shared" si="157"/>
        <v>3.3217499999999998</v>
      </c>
      <c r="CD649" s="104"/>
      <c r="CE649" s="104"/>
      <c r="CF649" s="104"/>
      <c r="CG649" s="104"/>
      <c r="CH649" s="104"/>
      <c r="CI649" s="104"/>
      <c r="CJ649" s="104"/>
      <c r="CK649" s="104"/>
    </row>
    <row r="650" spans="1:89">
      <c r="B650" s="129">
        <v>641</v>
      </c>
      <c r="C650" s="131" t="s">
        <v>393</v>
      </c>
      <c r="D650" s="123" t="s">
        <v>6</v>
      </c>
      <c r="E650" s="129"/>
      <c r="F650" s="147">
        <v>8.1</v>
      </c>
      <c r="G650" s="147">
        <v>0.55000000000000004</v>
      </c>
      <c r="H650" s="147"/>
      <c r="I650" s="205">
        <f t="shared" ref="I650:I656" si="158">(G650*0.1)+(H650*0.03)</f>
        <v>5.5000000000000007E-2</v>
      </c>
      <c r="J650" s="147">
        <f t="shared" si="154"/>
        <v>4.4550000000000001</v>
      </c>
      <c r="K650" s="147">
        <f t="shared" si="155"/>
        <v>0</v>
      </c>
      <c r="L650" s="147">
        <f t="shared" si="156"/>
        <v>0.44550000000000006</v>
      </c>
      <c r="M650" s="147">
        <f t="shared" si="157"/>
        <v>4.9005000000000001</v>
      </c>
      <c r="CD650" s="104"/>
      <c r="CE650" s="104"/>
      <c r="CF650" s="104"/>
      <c r="CG650" s="104"/>
      <c r="CH650" s="104"/>
      <c r="CI650" s="104"/>
      <c r="CJ650" s="104"/>
      <c r="CK650" s="104"/>
    </row>
    <row r="651" spans="1:89">
      <c r="B651" s="129">
        <v>642</v>
      </c>
      <c r="C651" s="106" t="s">
        <v>94</v>
      </c>
      <c r="D651" s="123"/>
      <c r="E651" s="129"/>
      <c r="F651" s="147">
        <f>1.5*F650</f>
        <v>12.149999999999999</v>
      </c>
      <c r="G651" s="147"/>
      <c r="H651" s="147">
        <v>0.42</v>
      </c>
      <c r="I651" s="205">
        <f t="shared" si="158"/>
        <v>1.2599999999999998E-2</v>
      </c>
      <c r="J651" s="147">
        <f t="shared" si="154"/>
        <v>0</v>
      </c>
      <c r="K651" s="147">
        <f t="shared" si="155"/>
        <v>5.1029999999999989</v>
      </c>
      <c r="L651" s="147">
        <f t="shared" si="156"/>
        <v>0.15308999999999995</v>
      </c>
      <c r="M651" s="147">
        <f t="shared" si="157"/>
        <v>5.2560899999999986</v>
      </c>
      <c r="CD651" s="104"/>
      <c r="CE651" s="104"/>
      <c r="CF651" s="104"/>
      <c r="CG651" s="104"/>
      <c r="CH651" s="104"/>
      <c r="CI651" s="104"/>
      <c r="CJ651" s="104"/>
      <c r="CK651" s="104"/>
    </row>
    <row r="652" spans="1:89">
      <c r="A652" s="160"/>
      <c r="B652" s="129">
        <v>643</v>
      </c>
      <c r="C652" s="131" t="s">
        <v>79</v>
      </c>
      <c r="D652" s="123" t="s">
        <v>6</v>
      </c>
      <c r="E652" s="204">
        <v>11.73</v>
      </c>
      <c r="F652" s="147">
        <v>8.1</v>
      </c>
      <c r="G652" s="147">
        <v>5.4</v>
      </c>
      <c r="H652" s="147"/>
      <c r="I652" s="205">
        <f t="shared" si="158"/>
        <v>0.54</v>
      </c>
      <c r="J652" s="147">
        <f t="shared" si="154"/>
        <v>43.74</v>
      </c>
      <c r="K652" s="147">
        <f t="shared" si="155"/>
        <v>0</v>
      </c>
      <c r="L652" s="147">
        <f t="shared" si="156"/>
        <v>4.3739999999999997</v>
      </c>
      <c r="M652" s="147">
        <f t="shared" si="157"/>
        <v>48.114000000000004</v>
      </c>
      <c r="CD652" s="104"/>
      <c r="CE652" s="104"/>
      <c r="CF652" s="104"/>
      <c r="CG652" s="104"/>
      <c r="CH652" s="104"/>
      <c r="CI652" s="104"/>
      <c r="CJ652" s="104"/>
      <c r="CK652" s="104"/>
    </row>
    <row r="653" spans="1:89" s="127" customFormat="1">
      <c r="A653" s="168"/>
      <c r="B653" s="129">
        <v>644</v>
      </c>
      <c r="C653" s="146" t="s">
        <v>512</v>
      </c>
      <c r="D653" s="147" t="s">
        <v>273</v>
      </c>
      <c r="E653" s="123">
        <f>3.19+4.28+1</f>
        <v>8.4700000000000006</v>
      </c>
      <c r="F653" s="147"/>
      <c r="G653" s="147">
        <v>1.25</v>
      </c>
      <c r="H653" s="147"/>
      <c r="I653" s="147">
        <f t="shared" si="158"/>
        <v>0.125</v>
      </c>
      <c r="J653" s="147">
        <f t="shared" si="154"/>
        <v>0</v>
      </c>
      <c r="K653" s="147">
        <f t="shared" si="155"/>
        <v>0</v>
      </c>
      <c r="L653" s="147">
        <f t="shared" si="156"/>
        <v>0</v>
      </c>
      <c r="M653" s="147">
        <f t="shared" si="157"/>
        <v>0</v>
      </c>
      <c r="N653" s="130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  <c r="AC653" s="128"/>
      <c r="AD653" s="128"/>
      <c r="AE653" s="128"/>
      <c r="AF653" s="128"/>
      <c r="AG653" s="128"/>
      <c r="AH653" s="128"/>
      <c r="AI653" s="128"/>
      <c r="AJ653" s="128"/>
      <c r="AK653" s="128"/>
      <c r="AL653" s="128"/>
      <c r="AM653" s="128"/>
      <c r="AN653" s="128"/>
      <c r="AO653" s="128"/>
      <c r="AP653" s="128"/>
      <c r="AQ653" s="128"/>
      <c r="AR653" s="128"/>
      <c r="AS653" s="128"/>
      <c r="AT653" s="128"/>
      <c r="AU653" s="128"/>
      <c r="AV653" s="128"/>
      <c r="AW653" s="128"/>
      <c r="AX653" s="128"/>
      <c r="AY653" s="128"/>
      <c r="AZ653" s="128"/>
      <c r="BA653" s="128"/>
      <c r="BB653" s="128"/>
      <c r="BC653" s="128"/>
      <c r="BD653" s="128"/>
      <c r="BE653" s="128"/>
      <c r="BF653" s="128"/>
      <c r="BG653" s="128"/>
      <c r="BH653" s="128"/>
      <c r="BI653" s="128"/>
      <c r="BJ653" s="128"/>
      <c r="BK653" s="128"/>
      <c r="BL653" s="128"/>
      <c r="BM653" s="128"/>
      <c r="BN653" s="128"/>
      <c r="BO653" s="128"/>
      <c r="BP653" s="128"/>
      <c r="BQ653" s="128"/>
      <c r="BR653" s="128"/>
      <c r="BS653" s="128"/>
      <c r="BT653" s="128"/>
      <c r="BU653" s="128"/>
      <c r="BV653" s="128"/>
      <c r="BW653" s="128"/>
      <c r="BX653" s="128"/>
      <c r="BY653" s="128"/>
      <c r="BZ653" s="128"/>
      <c r="CA653" s="128"/>
      <c r="CB653" s="128"/>
      <c r="CC653" s="128"/>
      <c r="CD653" s="128"/>
      <c r="CE653" s="128"/>
      <c r="CF653" s="128"/>
      <c r="CG653" s="128"/>
      <c r="CH653" s="128"/>
      <c r="CI653" s="128"/>
      <c r="CJ653" s="128"/>
      <c r="CK653" s="128"/>
    </row>
    <row r="654" spans="1:89" s="112" customFormat="1">
      <c r="A654" s="162"/>
      <c r="B654" s="129">
        <v>645</v>
      </c>
      <c r="C654" s="106" t="s">
        <v>57</v>
      </c>
      <c r="D654" s="124" t="s">
        <v>6</v>
      </c>
      <c r="E654" s="210">
        <v>13</v>
      </c>
      <c r="F654" s="205">
        <f>1.05*F652</f>
        <v>8.5050000000000008</v>
      </c>
      <c r="G654" s="205"/>
      <c r="H654" s="205">
        <v>6.5</v>
      </c>
      <c r="I654" s="205">
        <f t="shared" si="158"/>
        <v>0.19500000000000001</v>
      </c>
      <c r="J654" s="147">
        <f t="shared" si="154"/>
        <v>0</v>
      </c>
      <c r="K654" s="147">
        <f t="shared" si="155"/>
        <v>55.282500000000006</v>
      </c>
      <c r="L654" s="147">
        <f t="shared" si="156"/>
        <v>1.6584750000000001</v>
      </c>
      <c r="M654" s="147">
        <f t="shared" si="157"/>
        <v>56.940975000000009</v>
      </c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  <c r="AA654" s="113"/>
      <c r="AB654" s="113"/>
      <c r="AC654" s="113"/>
      <c r="AD654" s="113"/>
      <c r="AE654" s="113"/>
      <c r="AF654" s="113"/>
      <c r="AG654" s="113"/>
      <c r="AH654" s="113"/>
      <c r="AI654" s="113"/>
      <c r="AJ654" s="113"/>
      <c r="AK654" s="113"/>
      <c r="AL654" s="113"/>
      <c r="AM654" s="113"/>
      <c r="AN654" s="113"/>
      <c r="AO654" s="113"/>
      <c r="AP654" s="113"/>
      <c r="AQ654" s="113"/>
      <c r="AR654" s="113"/>
      <c r="AS654" s="113"/>
      <c r="AT654" s="113"/>
      <c r="AU654" s="113"/>
      <c r="AV654" s="113"/>
      <c r="AW654" s="113"/>
      <c r="AX654" s="113"/>
      <c r="AY654" s="113"/>
      <c r="AZ654" s="113"/>
      <c r="BA654" s="113"/>
      <c r="BB654" s="113"/>
      <c r="BC654" s="113"/>
      <c r="BD654" s="113"/>
      <c r="BE654" s="113"/>
      <c r="BF654" s="113"/>
      <c r="BG654" s="113"/>
      <c r="BH654" s="113"/>
      <c r="BI654" s="113"/>
      <c r="BJ654" s="113"/>
      <c r="BK654" s="113"/>
      <c r="BL654" s="113"/>
      <c r="BM654" s="113"/>
      <c r="BN654" s="113"/>
      <c r="BO654" s="113"/>
      <c r="BP654" s="113"/>
      <c r="BQ654" s="113"/>
      <c r="BR654" s="113"/>
      <c r="BS654" s="113"/>
      <c r="BT654" s="113"/>
      <c r="BU654" s="113"/>
      <c r="BV654" s="113"/>
      <c r="BW654" s="113"/>
      <c r="BX654" s="113"/>
      <c r="BY654" s="113"/>
      <c r="BZ654" s="113"/>
      <c r="CA654" s="113"/>
      <c r="CB654" s="113"/>
      <c r="CC654" s="113"/>
      <c r="CD654" s="113"/>
      <c r="CE654" s="113"/>
      <c r="CF654" s="113"/>
      <c r="CG654" s="113"/>
      <c r="CH654" s="113"/>
      <c r="CI654" s="113"/>
      <c r="CJ654" s="113"/>
      <c r="CK654" s="113"/>
    </row>
    <row r="655" spans="1:89" s="112" customFormat="1">
      <c r="A655" s="162"/>
      <c r="B655" s="129">
        <v>646</v>
      </c>
      <c r="C655" s="106" t="s">
        <v>58</v>
      </c>
      <c r="D655" s="124" t="s">
        <v>47</v>
      </c>
      <c r="E655" s="210">
        <v>52</v>
      </c>
      <c r="F655" s="205">
        <f>4.5*F654</f>
        <v>38.272500000000001</v>
      </c>
      <c r="G655" s="205"/>
      <c r="H655" s="205">
        <v>0.23</v>
      </c>
      <c r="I655" s="205">
        <f t="shared" si="158"/>
        <v>6.8999999999999999E-3</v>
      </c>
      <c r="J655" s="147">
        <f t="shared" si="154"/>
        <v>0</v>
      </c>
      <c r="K655" s="147">
        <f t="shared" si="155"/>
        <v>8.8026750000000007</v>
      </c>
      <c r="L655" s="147">
        <f t="shared" si="156"/>
        <v>0.26408025000000002</v>
      </c>
      <c r="M655" s="147">
        <f t="shared" si="157"/>
        <v>9.0667552499999999</v>
      </c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  <c r="AA655" s="113"/>
      <c r="AB655" s="113"/>
      <c r="AC655" s="113"/>
      <c r="AD655" s="113"/>
      <c r="AE655" s="113"/>
      <c r="AF655" s="113"/>
      <c r="AG655" s="113"/>
      <c r="AH655" s="113"/>
      <c r="AI655" s="113"/>
      <c r="AJ655" s="113"/>
      <c r="AK655" s="113"/>
      <c r="AL655" s="113"/>
      <c r="AM655" s="113"/>
      <c r="AN655" s="113"/>
      <c r="AO655" s="113"/>
      <c r="AP655" s="113"/>
      <c r="AQ655" s="113"/>
      <c r="AR655" s="113"/>
      <c r="AS655" s="113"/>
      <c r="AT655" s="113"/>
      <c r="AU655" s="113"/>
      <c r="AV655" s="113"/>
      <c r="AW655" s="113"/>
      <c r="AX655" s="113"/>
      <c r="AY655" s="113"/>
      <c r="AZ655" s="113"/>
      <c r="BA655" s="113"/>
      <c r="BB655" s="113"/>
      <c r="BC655" s="113"/>
      <c r="BD655" s="113"/>
      <c r="BE655" s="113"/>
      <c r="BF655" s="113"/>
      <c r="BG655" s="113"/>
      <c r="BH655" s="113"/>
      <c r="BI655" s="113"/>
      <c r="BJ655" s="113"/>
      <c r="BK655" s="113"/>
      <c r="BL655" s="113"/>
      <c r="BM655" s="113"/>
      <c r="BN655" s="113"/>
      <c r="BO655" s="113"/>
      <c r="BP655" s="113"/>
      <c r="BQ655" s="113"/>
      <c r="BR655" s="113"/>
      <c r="BS655" s="113"/>
      <c r="BT655" s="113"/>
      <c r="BU655" s="113"/>
      <c r="BV655" s="113"/>
      <c r="BW655" s="113"/>
      <c r="BX655" s="113"/>
      <c r="BY655" s="113"/>
      <c r="BZ655" s="113"/>
      <c r="CA655" s="113"/>
      <c r="CB655" s="113"/>
      <c r="CC655" s="113"/>
      <c r="CD655" s="113"/>
      <c r="CE655" s="113"/>
      <c r="CF655" s="113"/>
      <c r="CG655" s="113"/>
      <c r="CH655" s="113"/>
      <c r="CI655" s="113"/>
      <c r="CJ655" s="113"/>
      <c r="CK655" s="113"/>
    </row>
    <row r="656" spans="1:89" s="112" customFormat="1">
      <c r="A656" s="162"/>
      <c r="B656" s="129">
        <v>647</v>
      </c>
      <c r="C656" s="106" t="s">
        <v>59</v>
      </c>
      <c r="D656" s="124" t="s">
        <v>47</v>
      </c>
      <c r="E656" s="210">
        <v>25</v>
      </c>
      <c r="F656" s="205">
        <f>F652</f>
        <v>8.1</v>
      </c>
      <c r="G656" s="205"/>
      <c r="H656" s="205">
        <v>0.05</v>
      </c>
      <c r="I656" s="205">
        <f t="shared" si="158"/>
        <v>1.5E-3</v>
      </c>
      <c r="J656" s="147">
        <f t="shared" si="154"/>
        <v>0</v>
      </c>
      <c r="K656" s="147">
        <f t="shared" si="155"/>
        <v>0.40500000000000003</v>
      </c>
      <c r="L656" s="147">
        <f t="shared" si="156"/>
        <v>1.2149999999999999E-2</v>
      </c>
      <c r="M656" s="147">
        <f t="shared" si="157"/>
        <v>0.41715000000000002</v>
      </c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  <c r="AA656" s="113"/>
      <c r="AB656" s="113"/>
      <c r="AC656" s="113"/>
      <c r="AD656" s="113"/>
      <c r="AE656" s="113"/>
      <c r="AF656" s="113"/>
      <c r="AG656" s="113"/>
      <c r="AH656" s="113"/>
      <c r="AI656" s="113"/>
      <c r="AJ656" s="113"/>
      <c r="AK656" s="113"/>
      <c r="AL656" s="113"/>
      <c r="AM656" s="113"/>
      <c r="AN656" s="113"/>
      <c r="AO656" s="113"/>
      <c r="AP656" s="113"/>
      <c r="AQ656" s="113"/>
      <c r="AR656" s="113"/>
      <c r="AS656" s="113"/>
      <c r="AT656" s="113"/>
      <c r="AU656" s="113"/>
      <c r="AV656" s="113"/>
      <c r="AW656" s="113"/>
      <c r="AX656" s="113"/>
      <c r="AY656" s="113"/>
      <c r="AZ656" s="113"/>
      <c r="BA656" s="113"/>
      <c r="BB656" s="113"/>
      <c r="BC656" s="113"/>
      <c r="BD656" s="113"/>
      <c r="BE656" s="113"/>
      <c r="BF656" s="113"/>
      <c r="BG656" s="113"/>
      <c r="BH656" s="113"/>
      <c r="BI656" s="113"/>
      <c r="BJ656" s="113"/>
      <c r="BK656" s="113"/>
      <c r="BL656" s="113"/>
      <c r="BM656" s="113"/>
      <c r="BN656" s="113"/>
      <c r="BO656" s="113"/>
      <c r="BP656" s="113"/>
      <c r="BQ656" s="113"/>
      <c r="BR656" s="113"/>
      <c r="BS656" s="113"/>
      <c r="BT656" s="113"/>
      <c r="BU656" s="113"/>
      <c r="BV656" s="113"/>
      <c r="BW656" s="113"/>
      <c r="BX656" s="113"/>
      <c r="BY656" s="113"/>
      <c r="BZ656" s="113"/>
      <c r="CA656" s="113"/>
      <c r="CB656" s="113"/>
      <c r="CC656" s="113"/>
      <c r="CD656" s="113"/>
      <c r="CE656" s="113"/>
      <c r="CF656" s="113"/>
      <c r="CG656" s="113"/>
      <c r="CH656" s="113"/>
      <c r="CI656" s="113"/>
      <c r="CJ656" s="113"/>
      <c r="CK656" s="113"/>
    </row>
    <row r="657" spans="1:89" s="140" customFormat="1">
      <c r="A657" s="139"/>
      <c r="B657" s="129">
        <v>648</v>
      </c>
      <c r="C657" s="182" t="s">
        <v>486</v>
      </c>
      <c r="D657" s="137"/>
      <c r="E657" s="209"/>
      <c r="F657" s="206"/>
      <c r="G657" s="206"/>
      <c r="H657" s="206"/>
      <c r="I657" s="206"/>
      <c r="J657" s="147">
        <f t="shared" ref="J657:J677" si="159">F657*G657</f>
        <v>0</v>
      </c>
      <c r="K657" s="147">
        <f t="shared" ref="K657:K677" si="160">F657*H657</f>
        <v>0</v>
      </c>
      <c r="L657" s="147">
        <f t="shared" ref="L657:L677" si="161">F657*I657</f>
        <v>0</v>
      </c>
      <c r="M657" s="147">
        <f t="shared" ref="M657:M677" si="162">J657+K657+L657</f>
        <v>0</v>
      </c>
      <c r="O657" s="139"/>
      <c r="P657" s="139"/>
      <c r="Q657" s="139"/>
      <c r="R657" s="139"/>
      <c r="S657" s="139"/>
      <c r="T657" s="139"/>
      <c r="U657" s="139"/>
      <c r="V657" s="139"/>
      <c r="W657" s="139"/>
      <c r="X657" s="139"/>
      <c r="Y657" s="139"/>
      <c r="Z657" s="139"/>
      <c r="AA657" s="139"/>
      <c r="AB657" s="139"/>
      <c r="AC657" s="139"/>
      <c r="AD657" s="139"/>
      <c r="AE657" s="139"/>
      <c r="AF657" s="139"/>
      <c r="AG657" s="139"/>
      <c r="AH657" s="139"/>
      <c r="AI657" s="139"/>
      <c r="AJ657" s="139"/>
      <c r="AK657" s="139"/>
      <c r="AL657" s="139"/>
      <c r="AM657" s="139"/>
      <c r="AN657" s="139"/>
      <c r="AO657" s="139"/>
      <c r="AP657" s="139"/>
      <c r="AQ657" s="139"/>
      <c r="AR657" s="139"/>
      <c r="AS657" s="139"/>
      <c r="AT657" s="139"/>
      <c r="AU657" s="139"/>
      <c r="AV657" s="139"/>
      <c r="AW657" s="139"/>
      <c r="AX657" s="139"/>
      <c r="AY657" s="139"/>
      <c r="AZ657" s="139"/>
      <c r="BA657" s="139"/>
      <c r="BB657" s="139"/>
      <c r="BC657" s="139"/>
      <c r="BD657" s="139"/>
      <c r="BE657" s="139"/>
      <c r="BF657" s="139"/>
      <c r="BG657" s="139"/>
      <c r="BH657" s="139"/>
      <c r="BI657" s="139"/>
      <c r="BJ657" s="139"/>
      <c r="BK657" s="139"/>
      <c r="BL657" s="139"/>
      <c r="BM657" s="139"/>
      <c r="BN657" s="139"/>
      <c r="BO657" s="139"/>
      <c r="BP657" s="139"/>
      <c r="BQ657" s="139"/>
      <c r="BR657" s="139"/>
      <c r="BS657" s="139"/>
      <c r="BT657" s="139"/>
      <c r="BU657" s="139"/>
      <c r="BV657" s="139"/>
      <c r="BW657" s="139"/>
      <c r="BX657" s="139"/>
      <c r="BY657" s="139"/>
      <c r="BZ657" s="139"/>
      <c r="CA657" s="139"/>
      <c r="CB657" s="139"/>
      <c r="CC657" s="139"/>
      <c r="CD657" s="139"/>
      <c r="CE657" s="139"/>
      <c r="CF657" s="139"/>
      <c r="CG657" s="139"/>
      <c r="CH657" s="139"/>
      <c r="CI657" s="139"/>
      <c r="CJ657" s="139"/>
      <c r="CK657" s="139"/>
    </row>
    <row r="658" spans="1:89">
      <c r="B658" s="129">
        <v>649</v>
      </c>
      <c r="C658" s="143" t="s">
        <v>513</v>
      </c>
      <c r="D658" s="123"/>
      <c r="E658" s="129"/>
      <c r="F658" s="147">
        <v>20.7</v>
      </c>
      <c r="G658" s="147">
        <v>1.5</v>
      </c>
      <c r="H658" s="147"/>
      <c r="I658" s="205">
        <f t="shared" si="153"/>
        <v>0.15000000000000002</v>
      </c>
      <c r="J658" s="147">
        <f t="shared" si="159"/>
        <v>31.049999999999997</v>
      </c>
      <c r="K658" s="147">
        <f t="shared" si="160"/>
        <v>0</v>
      </c>
      <c r="L658" s="147">
        <f t="shared" si="161"/>
        <v>3.1050000000000004</v>
      </c>
      <c r="M658" s="147">
        <f t="shared" si="162"/>
        <v>34.155000000000001</v>
      </c>
      <c r="CD658" s="104"/>
      <c r="CE658" s="104"/>
      <c r="CF658" s="104"/>
      <c r="CG658" s="104"/>
      <c r="CH658" s="104"/>
      <c r="CI658" s="104"/>
      <c r="CJ658" s="104"/>
      <c r="CK658" s="104"/>
    </row>
    <row r="659" spans="1:89">
      <c r="B659" s="129">
        <v>650</v>
      </c>
      <c r="C659" s="106" t="s">
        <v>339</v>
      </c>
      <c r="D659" s="123"/>
      <c r="E659" s="129"/>
      <c r="F659" s="147">
        <f>F658*1.15</f>
        <v>23.804999999999996</v>
      </c>
      <c r="G659" s="147"/>
      <c r="H659" s="147">
        <v>1.1000000000000001</v>
      </c>
      <c r="I659" s="205">
        <f t="shared" si="153"/>
        <v>3.3000000000000002E-2</v>
      </c>
      <c r="J659" s="147">
        <f t="shared" si="159"/>
        <v>0</v>
      </c>
      <c r="K659" s="147">
        <f t="shared" si="160"/>
        <v>26.185499999999998</v>
      </c>
      <c r="L659" s="147">
        <f t="shared" si="161"/>
        <v>0.78556499999999996</v>
      </c>
      <c r="M659" s="147">
        <f t="shared" si="162"/>
        <v>26.971064999999996</v>
      </c>
      <c r="CD659" s="104"/>
      <c r="CE659" s="104"/>
      <c r="CF659" s="104"/>
      <c r="CG659" s="104"/>
      <c r="CH659" s="104"/>
      <c r="CI659" s="104"/>
      <c r="CJ659" s="104"/>
      <c r="CK659" s="104"/>
    </row>
    <row r="660" spans="1:89">
      <c r="B660" s="129">
        <v>651</v>
      </c>
      <c r="C660" s="106" t="s">
        <v>401</v>
      </c>
      <c r="D660" s="123"/>
      <c r="E660" s="129"/>
      <c r="F660" s="147">
        <v>23.805</v>
      </c>
      <c r="G660" s="147"/>
      <c r="H660" s="147">
        <f>2.5*0.6</f>
        <v>1.5</v>
      </c>
      <c r="I660" s="205">
        <f t="shared" si="153"/>
        <v>4.4999999999999998E-2</v>
      </c>
      <c r="J660" s="147">
        <f t="shared" si="159"/>
        <v>0</v>
      </c>
      <c r="K660" s="147">
        <f t="shared" si="160"/>
        <v>35.707499999999996</v>
      </c>
      <c r="L660" s="147">
        <f t="shared" si="161"/>
        <v>1.0712249999999999</v>
      </c>
      <c r="M660" s="147">
        <f t="shared" si="162"/>
        <v>36.778724999999994</v>
      </c>
      <c r="CD660" s="104"/>
      <c r="CE660" s="104"/>
      <c r="CF660" s="104"/>
      <c r="CG660" s="104"/>
      <c r="CH660" s="104"/>
      <c r="CI660" s="104"/>
      <c r="CJ660" s="104"/>
      <c r="CK660" s="104"/>
    </row>
    <row r="661" spans="1:89">
      <c r="B661" s="129">
        <v>652</v>
      </c>
      <c r="C661" s="131" t="s">
        <v>393</v>
      </c>
      <c r="D661" s="123" t="s">
        <v>6</v>
      </c>
      <c r="E661" s="129"/>
      <c r="F661" s="147">
        <v>20.7</v>
      </c>
      <c r="G661" s="147">
        <v>0.55000000000000004</v>
      </c>
      <c r="H661" s="147"/>
      <c r="I661" s="205">
        <f t="shared" si="153"/>
        <v>5.5000000000000007E-2</v>
      </c>
      <c r="J661" s="147">
        <f t="shared" si="159"/>
        <v>11.385</v>
      </c>
      <c r="K661" s="147">
        <f t="shared" si="160"/>
        <v>0</v>
      </c>
      <c r="L661" s="147">
        <f t="shared" si="161"/>
        <v>1.1385000000000001</v>
      </c>
      <c r="M661" s="147">
        <f t="shared" si="162"/>
        <v>12.5235</v>
      </c>
      <c r="CD661" s="104"/>
      <c r="CE661" s="104"/>
      <c r="CF661" s="104"/>
      <c r="CG661" s="104"/>
      <c r="CH661" s="104"/>
      <c r="CI661" s="104"/>
      <c r="CJ661" s="104"/>
      <c r="CK661" s="104"/>
    </row>
    <row r="662" spans="1:89">
      <c r="B662" s="129">
        <v>653</v>
      </c>
      <c r="C662" s="106" t="s">
        <v>94</v>
      </c>
      <c r="D662" s="124" t="s">
        <v>47</v>
      </c>
      <c r="E662" s="129"/>
      <c r="F662" s="147">
        <f>1.5*F661</f>
        <v>31.049999999999997</v>
      </c>
      <c r="G662" s="147"/>
      <c r="H662" s="147">
        <v>0.45</v>
      </c>
      <c r="I662" s="205">
        <f t="shared" si="153"/>
        <v>1.35E-2</v>
      </c>
      <c r="J662" s="147">
        <f t="shared" si="159"/>
        <v>0</v>
      </c>
      <c r="K662" s="147">
        <f t="shared" si="160"/>
        <v>13.972499999999998</v>
      </c>
      <c r="L662" s="147">
        <f t="shared" si="161"/>
        <v>0.41917499999999996</v>
      </c>
      <c r="M662" s="147">
        <f t="shared" si="162"/>
        <v>14.391674999999998</v>
      </c>
      <c r="CD662" s="104"/>
      <c r="CE662" s="104"/>
      <c r="CF662" s="104"/>
      <c r="CG662" s="104"/>
      <c r="CH662" s="104"/>
      <c r="CI662" s="104"/>
      <c r="CJ662" s="104"/>
      <c r="CK662" s="104"/>
    </row>
    <row r="663" spans="1:89">
      <c r="B663" s="129">
        <v>654</v>
      </c>
      <c r="C663" s="146" t="s">
        <v>506</v>
      </c>
      <c r="D663" s="123"/>
      <c r="E663" s="129"/>
      <c r="F663" s="147">
        <v>20.7</v>
      </c>
      <c r="G663" s="147">
        <v>5.4</v>
      </c>
      <c r="H663" s="147"/>
      <c r="I663" s="205">
        <f t="shared" si="153"/>
        <v>0.54</v>
      </c>
      <c r="J663" s="147">
        <f t="shared" si="159"/>
        <v>111.78</v>
      </c>
      <c r="K663" s="147">
        <f t="shared" si="160"/>
        <v>0</v>
      </c>
      <c r="L663" s="147">
        <f t="shared" si="161"/>
        <v>11.178000000000001</v>
      </c>
      <c r="M663" s="147">
        <f t="shared" si="162"/>
        <v>122.958</v>
      </c>
      <c r="CD663" s="104"/>
      <c r="CE663" s="104"/>
      <c r="CF663" s="104"/>
      <c r="CG663" s="104"/>
      <c r="CH663" s="104"/>
      <c r="CI663" s="104"/>
      <c r="CJ663" s="104"/>
      <c r="CK663" s="104"/>
    </row>
    <row r="664" spans="1:89">
      <c r="B664" s="129">
        <v>655</v>
      </c>
      <c r="C664" s="118" t="s">
        <v>333</v>
      </c>
      <c r="D664" s="123"/>
      <c r="E664" s="129"/>
      <c r="F664" s="147">
        <f>F663*4.5</f>
        <v>93.149999999999991</v>
      </c>
      <c r="G664" s="147"/>
      <c r="H664" s="147">
        <v>0.23</v>
      </c>
      <c r="I664" s="205">
        <f t="shared" si="153"/>
        <v>6.8999999999999999E-3</v>
      </c>
      <c r="J664" s="147">
        <f t="shared" si="159"/>
        <v>0</v>
      </c>
      <c r="K664" s="147">
        <f t="shared" si="160"/>
        <v>21.424499999999998</v>
      </c>
      <c r="L664" s="147">
        <f t="shared" si="161"/>
        <v>0.64273499999999995</v>
      </c>
      <c r="M664" s="147">
        <f t="shared" si="162"/>
        <v>22.067234999999997</v>
      </c>
      <c r="CD664" s="104"/>
      <c r="CE664" s="104"/>
      <c r="CF664" s="104"/>
      <c r="CG664" s="104"/>
      <c r="CH664" s="104"/>
      <c r="CI664" s="104"/>
      <c r="CJ664" s="104"/>
      <c r="CK664" s="104"/>
    </row>
    <row r="665" spans="1:89">
      <c r="B665" s="129">
        <v>656</v>
      </c>
      <c r="C665" s="106" t="s">
        <v>57</v>
      </c>
      <c r="D665" s="123"/>
      <c r="E665" s="129"/>
      <c r="F665" s="147">
        <f>1.05*F663</f>
        <v>21.734999999999999</v>
      </c>
      <c r="G665" s="147"/>
      <c r="H665" s="147">
        <v>6.5</v>
      </c>
      <c r="I665" s="205">
        <f t="shared" si="153"/>
        <v>0.19500000000000001</v>
      </c>
      <c r="J665" s="147">
        <f t="shared" si="159"/>
        <v>0</v>
      </c>
      <c r="K665" s="147">
        <f t="shared" si="160"/>
        <v>141.2775</v>
      </c>
      <c r="L665" s="147">
        <f t="shared" si="161"/>
        <v>4.2383249999999997</v>
      </c>
      <c r="M665" s="147">
        <f t="shared" si="162"/>
        <v>145.51582500000001</v>
      </c>
      <c r="CD665" s="104"/>
      <c r="CE665" s="104"/>
      <c r="CF665" s="104"/>
      <c r="CG665" s="104"/>
      <c r="CH665" s="104"/>
      <c r="CI665" s="104"/>
      <c r="CJ665" s="104"/>
      <c r="CK665" s="104"/>
    </row>
    <row r="666" spans="1:89" s="112" customFormat="1">
      <c r="B666" s="129">
        <v>657</v>
      </c>
      <c r="C666" s="106" t="s">
        <v>59</v>
      </c>
      <c r="D666" s="124"/>
      <c r="E666" s="117"/>
      <c r="F666" s="205">
        <f>F663</f>
        <v>20.7</v>
      </c>
      <c r="G666" s="205"/>
      <c r="H666" s="205">
        <v>0.5</v>
      </c>
      <c r="I666" s="205">
        <f t="shared" si="153"/>
        <v>1.4999999999999999E-2</v>
      </c>
      <c r="J666" s="147">
        <f t="shared" si="159"/>
        <v>0</v>
      </c>
      <c r="K666" s="147">
        <f t="shared" si="160"/>
        <v>10.35</v>
      </c>
      <c r="L666" s="147">
        <f t="shared" si="161"/>
        <v>0.3105</v>
      </c>
      <c r="M666" s="147">
        <f t="shared" si="162"/>
        <v>10.660499999999999</v>
      </c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  <c r="AA666" s="113"/>
      <c r="AB666" s="113"/>
      <c r="AC666" s="113"/>
      <c r="AD666" s="113"/>
      <c r="AE666" s="113"/>
      <c r="AF666" s="113"/>
      <c r="AG666" s="113"/>
      <c r="AH666" s="113"/>
      <c r="AI666" s="113"/>
      <c r="AJ666" s="113"/>
      <c r="AK666" s="113"/>
      <c r="AL666" s="113"/>
      <c r="AM666" s="113"/>
      <c r="AN666" s="113"/>
      <c r="AO666" s="113"/>
      <c r="AP666" s="113"/>
      <c r="AQ666" s="113"/>
      <c r="AR666" s="113"/>
      <c r="AS666" s="113"/>
      <c r="AT666" s="113"/>
      <c r="AU666" s="113"/>
      <c r="AV666" s="113"/>
      <c r="AW666" s="113"/>
      <c r="AX666" s="113"/>
      <c r="AY666" s="113"/>
      <c r="AZ666" s="113"/>
      <c r="BA666" s="113"/>
      <c r="BB666" s="113"/>
      <c r="BC666" s="113"/>
      <c r="BD666" s="113"/>
      <c r="BE666" s="113"/>
      <c r="BF666" s="113"/>
      <c r="BG666" s="113"/>
      <c r="BH666" s="113"/>
      <c r="BI666" s="113"/>
      <c r="BJ666" s="113"/>
      <c r="BK666" s="113"/>
      <c r="BL666" s="113"/>
      <c r="BM666" s="113"/>
      <c r="BN666" s="113"/>
      <c r="BO666" s="113"/>
      <c r="BP666" s="113"/>
      <c r="BQ666" s="113"/>
      <c r="BR666" s="113"/>
      <c r="BS666" s="113"/>
      <c r="BT666" s="113"/>
      <c r="BU666" s="113"/>
      <c r="BV666" s="113"/>
      <c r="BW666" s="113"/>
      <c r="BX666" s="113"/>
      <c r="BY666" s="113"/>
      <c r="BZ666" s="113"/>
      <c r="CA666" s="113"/>
      <c r="CB666" s="113"/>
      <c r="CC666" s="113"/>
      <c r="CD666" s="113"/>
      <c r="CE666" s="113"/>
      <c r="CF666" s="113"/>
      <c r="CG666" s="113"/>
      <c r="CH666" s="113"/>
      <c r="CI666" s="113"/>
      <c r="CJ666" s="113"/>
      <c r="CK666" s="113"/>
    </row>
    <row r="667" spans="1:89">
      <c r="A667" s="160"/>
      <c r="B667" s="129">
        <v>658</v>
      </c>
      <c r="C667" s="131" t="s">
        <v>443</v>
      </c>
      <c r="D667" s="123" t="s">
        <v>114</v>
      </c>
      <c r="E667" s="204">
        <v>252</v>
      </c>
      <c r="F667" s="147">
        <v>26.88</v>
      </c>
      <c r="G667" s="147">
        <v>1.1000000000000001</v>
      </c>
      <c r="H667" s="147"/>
      <c r="I667" s="205">
        <f t="shared" si="153"/>
        <v>0.11000000000000001</v>
      </c>
      <c r="J667" s="147">
        <f t="shared" si="159"/>
        <v>29.568000000000001</v>
      </c>
      <c r="K667" s="147">
        <f t="shared" si="160"/>
        <v>0</v>
      </c>
      <c r="L667" s="147">
        <f t="shared" si="161"/>
        <v>2.9568000000000003</v>
      </c>
      <c r="M667" s="147">
        <f t="shared" si="162"/>
        <v>32.524799999999999</v>
      </c>
      <c r="CD667" s="104"/>
      <c r="CE667" s="104"/>
      <c r="CF667" s="104"/>
      <c r="CG667" s="104"/>
      <c r="CH667" s="104"/>
      <c r="CI667" s="104"/>
      <c r="CJ667" s="104"/>
      <c r="CK667" s="104"/>
    </row>
    <row r="668" spans="1:89" s="112" customFormat="1">
      <c r="A668" s="162"/>
      <c r="B668" s="129">
        <v>659</v>
      </c>
      <c r="C668" s="106" t="s">
        <v>121</v>
      </c>
      <c r="D668" s="124" t="s">
        <v>114</v>
      </c>
      <c r="E668" s="210">
        <v>162</v>
      </c>
      <c r="F668" s="205">
        <f>(7.25+3.19)*2</f>
        <v>20.88</v>
      </c>
      <c r="G668" s="205"/>
      <c r="H668" s="205">
        <v>1.85</v>
      </c>
      <c r="I668" s="205">
        <f t="shared" si="153"/>
        <v>5.5500000000000001E-2</v>
      </c>
      <c r="J668" s="147">
        <f t="shared" si="159"/>
        <v>0</v>
      </c>
      <c r="K668" s="147">
        <f t="shared" si="160"/>
        <v>38.628</v>
      </c>
      <c r="L668" s="147">
        <f t="shared" si="161"/>
        <v>1.1588399999999999</v>
      </c>
      <c r="M668" s="147">
        <f t="shared" si="162"/>
        <v>39.786839999999998</v>
      </c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  <c r="AA668" s="113"/>
      <c r="AB668" s="113"/>
      <c r="AC668" s="113"/>
      <c r="AD668" s="113"/>
      <c r="AE668" s="113"/>
      <c r="AF668" s="113"/>
      <c r="AG668" s="113"/>
      <c r="AH668" s="113"/>
      <c r="AI668" s="113"/>
      <c r="AJ668" s="113"/>
      <c r="AK668" s="113"/>
      <c r="AL668" s="113"/>
      <c r="AM668" s="113"/>
      <c r="AN668" s="113"/>
      <c r="AO668" s="113"/>
      <c r="AP668" s="113"/>
      <c r="AQ668" s="113"/>
      <c r="AR668" s="113"/>
      <c r="AS668" s="113"/>
      <c r="AT668" s="113"/>
      <c r="AU668" s="113"/>
      <c r="AV668" s="113"/>
      <c r="AW668" s="113"/>
      <c r="AX668" s="113"/>
      <c r="AY668" s="113"/>
      <c r="AZ668" s="113"/>
      <c r="BA668" s="113"/>
      <c r="BB668" s="113"/>
      <c r="BC668" s="113"/>
      <c r="BD668" s="113"/>
      <c r="BE668" s="113"/>
      <c r="BF668" s="113"/>
      <c r="BG668" s="113"/>
      <c r="BH668" s="113"/>
      <c r="BI668" s="113"/>
      <c r="BJ668" s="113"/>
      <c r="BK668" s="113"/>
      <c r="BL668" s="113"/>
      <c r="BM668" s="113"/>
      <c r="BN668" s="113"/>
      <c r="BO668" s="113"/>
      <c r="BP668" s="113"/>
      <c r="BQ668" s="113"/>
      <c r="BR668" s="113"/>
      <c r="BS668" s="113"/>
      <c r="BT668" s="113"/>
      <c r="BU668" s="113"/>
      <c r="BV668" s="113"/>
      <c r="BW668" s="113"/>
      <c r="BX668" s="113"/>
      <c r="BY668" s="113"/>
      <c r="BZ668" s="113"/>
      <c r="CA668" s="113"/>
      <c r="CB668" s="113"/>
      <c r="CC668" s="113"/>
      <c r="CD668" s="113"/>
      <c r="CE668" s="113"/>
      <c r="CF668" s="113"/>
      <c r="CG668" s="113"/>
      <c r="CH668" s="113"/>
      <c r="CI668" s="113"/>
      <c r="CJ668" s="113"/>
      <c r="CK668" s="113"/>
    </row>
    <row r="669" spans="1:89" s="112" customFormat="1">
      <c r="A669" s="162"/>
      <c r="B669" s="129">
        <v>660</v>
      </c>
      <c r="C669" s="106" t="s">
        <v>39</v>
      </c>
      <c r="D669" s="124" t="s">
        <v>83</v>
      </c>
      <c r="E669" s="210">
        <v>252</v>
      </c>
      <c r="F669" s="205">
        <v>42</v>
      </c>
      <c r="G669" s="205"/>
      <c r="H669" s="205">
        <v>0.44</v>
      </c>
      <c r="I669" s="205">
        <f t="shared" si="153"/>
        <v>1.32E-2</v>
      </c>
      <c r="J669" s="147">
        <f t="shared" si="159"/>
        <v>0</v>
      </c>
      <c r="K669" s="147">
        <f t="shared" si="160"/>
        <v>18.48</v>
      </c>
      <c r="L669" s="147">
        <f t="shared" si="161"/>
        <v>0.5544</v>
      </c>
      <c r="M669" s="147">
        <f t="shared" si="162"/>
        <v>19.034400000000002</v>
      </c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  <c r="AA669" s="113"/>
      <c r="AB669" s="113"/>
      <c r="AC669" s="113"/>
      <c r="AD669" s="113"/>
      <c r="AE669" s="113"/>
      <c r="AF669" s="113"/>
      <c r="AG669" s="113"/>
      <c r="AH669" s="113"/>
      <c r="AI669" s="113"/>
      <c r="AJ669" s="113"/>
      <c r="AK669" s="113"/>
      <c r="AL669" s="113"/>
      <c r="AM669" s="113"/>
      <c r="AN669" s="113"/>
      <c r="AO669" s="113"/>
      <c r="AP669" s="113"/>
      <c r="AQ669" s="113"/>
      <c r="AR669" s="113"/>
      <c r="AS669" s="113"/>
      <c r="AT669" s="113"/>
      <c r="AU669" s="113"/>
      <c r="AV669" s="113"/>
      <c r="AW669" s="113"/>
      <c r="AX669" s="113"/>
      <c r="AY669" s="113"/>
      <c r="AZ669" s="113"/>
      <c r="BA669" s="113"/>
      <c r="BB669" s="113"/>
      <c r="BC669" s="113"/>
      <c r="BD669" s="113"/>
      <c r="BE669" s="113"/>
      <c r="BF669" s="113"/>
      <c r="BG669" s="113"/>
      <c r="BH669" s="113"/>
      <c r="BI669" s="113"/>
      <c r="BJ669" s="113"/>
      <c r="BK669" s="113"/>
      <c r="BL669" s="113"/>
      <c r="BM669" s="113"/>
      <c r="BN669" s="113"/>
      <c r="BO669" s="113"/>
      <c r="BP669" s="113"/>
      <c r="BQ669" s="113"/>
      <c r="BR669" s="113"/>
      <c r="BS669" s="113"/>
      <c r="BT669" s="113"/>
      <c r="BU669" s="113"/>
      <c r="BV669" s="113"/>
      <c r="BW669" s="113"/>
      <c r="BX669" s="113"/>
      <c r="BY669" s="113"/>
      <c r="BZ669" s="113"/>
      <c r="CA669" s="113"/>
      <c r="CB669" s="113"/>
      <c r="CC669" s="113"/>
      <c r="CD669" s="113"/>
      <c r="CE669" s="113"/>
      <c r="CF669" s="113"/>
      <c r="CG669" s="113"/>
      <c r="CH669" s="113"/>
      <c r="CI669" s="113"/>
      <c r="CJ669" s="113"/>
      <c r="CK669" s="113"/>
    </row>
    <row r="670" spans="1:89" s="112" customFormat="1">
      <c r="A670" s="162"/>
      <c r="B670" s="129">
        <v>661</v>
      </c>
      <c r="C670" s="106" t="s">
        <v>122</v>
      </c>
      <c r="D670" s="124" t="s">
        <v>114</v>
      </c>
      <c r="E670" s="210">
        <v>90</v>
      </c>
      <c r="F670" s="205">
        <v>6</v>
      </c>
      <c r="G670" s="205"/>
      <c r="H670" s="205">
        <v>1.85</v>
      </c>
      <c r="I670" s="205">
        <f t="shared" si="153"/>
        <v>5.5500000000000001E-2</v>
      </c>
      <c r="J670" s="147">
        <f t="shared" si="159"/>
        <v>0</v>
      </c>
      <c r="K670" s="147">
        <f t="shared" si="160"/>
        <v>11.100000000000001</v>
      </c>
      <c r="L670" s="147">
        <f t="shared" si="161"/>
        <v>0.33300000000000002</v>
      </c>
      <c r="M670" s="147">
        <f t="shared" si="162"/>
        <v>11.433000000000002</v>
      </c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  <c r="AA670" s="113"/>
      <c r="AB670" s="113"/>
      <c r="AC670" s="113"/>
      <c r="AD670" s="113"/>
      <c r="AE670" s="113"/>
      <c r="AF670" s="113"/>
      <c r="AG670" s="113"/>
      <c r="AH670" s="113"/>
      <c r="AI670" s="113"/>
      <c r="AJ670" s="113"/>
      <c r="AK670" s="113"/>
      <c r="AL670" s="113"/>
      <c r="AM670" s="113"/>
      <c r="AN670" s="113"/>
      <c r="AO670" s="113"/>
      <c r="AP670" s="113"/>
      <c r="AQ670" s="113"/>
      <c r="AR670" s="113"/>
      <c r="AS670" s="113"/>
      <c r="AT670" s="113"/>
      <c r="AU670" s="113"/>
      <c r="AV670" s="113"/>
      <c r="AW670" s="113"/>
      <c r="AX670" s="113"/>
      <c r="AY670" s="113"/>
      <c r="AZ670" s="113"/>
      <c r="BA670" s="113"/>
      <c r="BB670" s="113"/>
      <c r="BC670" s="113"/>
      <c r="BD670" s="113"/>
      <c r="BE670" s="113"/>
      <c r="BF670" s="113"/>
      <c r="BG670" s="113"/>
      <c r="BH670" s="113"/>
      <c r="BI670" s="113"/>
      <c r="BJ670" s="113"/>
      <c r="BK670" s="113"/>
      <c r="BL670" s="113"/>
      <c r="BM670" s="113"/>
      <c r="BN670" s="113"/>
      <c r="BO670" s="113"/>
      <c r="BP670" s="113"/>
      <c r="BQ670" s="113"/>
      <c r="BR670" s="113"/>
      <c r="BS670" s="113"/>
      <c r="BT670" s="113"/>
      <c r="BU670" s="113"/>
      <c r="BV670" s="113"/>
      <c r="BW670" s="113"/>
      <c r="BX670" s="113"/>
      <c r="BY670" s="113"/>
      <c r="BZ670" s="113"/>
      <c r="CA670" s="113"/>
      <c r="CB670" s="113"/>
      <c r="CC670" s="113"/>
      <c r="CD670" s="113"/>
      <c r="CE670" s="113"/>
      <c r="CF670" s="113"/>
      <c r="CG670" s="113"/>
      <c r="CH670" s="113"/>
      <c r="CI670" s="113"/>
      <c r="CJ670" s="113"/>
      <c r="CK670" s="113"/>
    </row>
    <row r="671" spans="1:89" s="112" customFormat="1">
      <c r="A671" s="162"/>
      <c r="B671" s="129">
        <v>662</v>
      </c>
      <c r="C671" s="106" t="s">
        <v>119</v>
      </c>
      <c r="D671" s="124" t="s">
        <v>47</v>
      </c>
      <c r="E671" s="210">
        <v>20</v>
      </c>
      <c r="F671" s="205">
        <f>F667*0.25*0.07</f>
        <v>0.47040000000000004</v>
      </c>
      <c r="G671" s="205"/>
      <c r="H671" s="205">
        <v>4.87</v>
      </c>
      <c r="I671" s="205">
        <f t="shared" si="153"/>
        <v>0.14610000000000001</v>
      </c>
      <c r="J671" s="147">
        <f t="shared" si="159"/>
        <v>0</v>
      </c>
      <c r="K671" s="147">
        <f t="shared" si="160"/>
        <v>2.2908480000000004</v>
      </c>
      <c r="L671" s="147">
        <f t="shared" si="161"/>
        <v>6.8725440000000013E-2</v>
      </c>
      <c r="M671" s="147">
        <f t="shared" si="162"/>
        <v>2.3595734400000006</v>
      </c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  <c r="AA671" s="113"/>
      <c r="AB671" s="113"/>
      <c r="AC671" s="113"/>
      <c r="AD671" s="113"/>
      <c r="AE671" s="113"/>
      <c r="AF671" s="113"/>
      <c r="AG671" s="113"/>
      <c r="AH671" s="113"/>
      <c r="AI671" s="113"/>
      <c r="AJ671" s="113"/>
      <c r="AK671" s="113"/>
      <c r="AL671" s="113"/>
      <c r="AM671" s="113"/>
      <c r="AN671" s="113"/>
      <c r="AO671" s="113"/>
      <c r="AP671" s="113"/>
      <c r="AQ671" s="113"/>
      <c r="AR671" s="113"/>
      <c r="AS671" s="113"/>
      <c r="AT671" s="113"/>
      <c r="AU671" s="113"/>
      <c r="AV671" s="113"/>
      <c r="AW671" s="113"/>
      <c r="AX671" s="113"/>
      <c r="AY671" s="113"/>
      <c r="AZ671" s="113"/>
      <c r="BA671" s="113"/>
      <c r="BB671" s="113"/>
      <c r="BC671" s="113"/>
      <c r="BD671" s="113"/>
      <c r="BE671" s="113"/>
      <c r="BF671" s="113"/>
      <c r="BG671" s="113"/>
      <c r="BH671" s="113"/>
      <c r="BI671" s="113"/>
      <c r="BJ671" s="113"/>
      <c r="BK671" s="113"/>
      <c r="BL671" s="113"/>
      <c r="BM671" s="113"/>
      <c r="BN671" s="113"/>
      <c r="BO671" s="113"/>
      <c r="BP671" s="113"/>
      <c r="BQ671" s="113"/>
      <c r="BR671" s="113"/>
      <c r="BS671" s="113"/>
      <c r="BT671" s="113"/>
      <c r="BU671" s="113"/>
      <c r="BV671" s="113"/>
      <c r="BW671" s="113"/>
      <c r="BX671" s="113"/>
      <c r="BY671" s="113"/>
      <c r="BZ671" s="113"/>
      <c r="CA671" s="113"/>
      <c r="CB671" s="113"/>
      <c r="CC671" s="113"/>
      <c r="CD671" s="113"/>
      <c r="CE671" s="113"/>
      <c r="CF671" s="113"/>
      <c r="CG671" s="113"/>
      <c r="CH671" s="113"/>
      <c r="CI671" s="113"/>
      <c r="CJ671" s="113"/>
      <c r="CK671" s="113"/>
    </row>
    <row r="672" spans="1:89" ht="24">
      <c r="A672" s="160"/>
      <c r="B672" s="129">
        <v>663</v>
      </c>
      <c r="C672" s="158" t="s">
        <v>444</v>
      </c>
      <c r="D672" s="123" t="s">
        <v>6</v>
      </c>
      <c r="E672" s="204">
        <v>570</v>
      </c>
      <c r="F672" s="147">
        <f>(7+3.25+4.65)*2.5</f>
        <v>37.25</v>
      </c>
      <c r="G672" s="147">
        <v>1.85</v>
      </c>
      <c r="H672" s="147"/>
      <c r="I672" s="205">
        <f>(G672*0.1)+(H672*0.03)</f>
        <v>0.18500000000000003</v>
      </c>
      <c r="J672" s="147">
        <f t="shared" si="159"/>
        <v>68.912500000000009</v>
      </c>
      <c r="K672" s="147">
        <f t="shared" si="160"/>
        <v>0</v>
      </c>
      <c r="L672" s="147">
        <f t="shared" si="161"/>
        <v>6.8912500000000012</v>
      </c>
      <c r="M672" s="147">
        <f t="shared" si="162"/>
        <v>75.803750000000008</v>
      </c>
      <c r="CD672" s="104"/>
      <c r="CE672" s="104"/>
      <c r="CF672" s="104"/>
      <c r="CG672" s="104"/>
      <c r="CH672" s="104"/>
      <c r="CI672" s="104"/>
      <c r="CJ672" s="104"/>
      <c r="CK672" s="104"/>
    </row>
    <row r="673" spans="1:89">
      <c r="A673" s="160"/>
      <c r="B673" s="129">
        <v>664</v>
      </c>
      <c r="C673" s="157" t="s">
        <v>445</v>
      </c>
      <c r="D673" s="123" t="s">
        <v>6</v>
      </c>
      <c r="E673" s="204">
        <v>249</v>
      </c>
      <c r="F673" s="147">
        <v>20.7</v>
      </c>
      <c r="G673" s="147">
        <v>2.0499999999999998</v>
      </c>
      <c r="H673" s="147"/>
      <c r="I673" s="205">
        <f t="shared" si="153"/>
        <v>0.20499999999999999</v>
      </c>
      <c r="J673" s="147">
        <f t="shared" si="159"/>
        <v>42.434999999999995</v>
      </c>
      <c r="K673" s="147">
        <f t="shared" si="160"/>
        <v>0</v>
      </c>
      <c r="L673" s="147">
        <f t="shared" si="161"/>
        <v>4.2434999999999992</v>
      </c>
      <c r="M673" s="147">
        <f t="shared" si="162"/>
        <v>46.678499999999993</v>
      </c>
      <c r="CD673" s="104"/>
      <c r="CE673" s="104"/>
      <c r="CF673" s="104"/>
      <c r="CG673" s="104"/>
      <c r="CH673" s="104"/>
      <c r="CI673" s="104"/>
      <c r="CJ673" s="104"/>
      <c r="CK673" s="104"/>
    </row>
    <row r="674" spans="1:89" s="112" customFormat="1">
      <c r="B674" s="129">
        <v>665</v>
      </c>
      <c r="C674" s="106" t="s">
        <v>391</v>
      </c>
      <c r="D674" s="124" t="s">
        <v>502</v>
      </c>
      <c r="E674" s="117"/>
      <c r="F674" s="205">
        <v>1</v>
      </c>
      <c r="G674" s="205"/>
      <c r="H674" s="205">
        <v>5.17</v>
      </c>
      <c r="I674" s="205">
        <f t="shared" si="153"/>
        <v>0.15509999999999999</v>
      </c>
      <c r="J674" s="147">
        <f t="shared" si="159"/>
        <v>0</v>
      </c>
      <c r="K674" s="147">
        <f t="shared" si="160"/>
        <v>5.17</v>
      </c>
      <c r="L674" s="147">
        <f t="shared" si="161"/>
        <v>0.15509999999999999</v>
      </c>
      <c r="M674" s="147">
        <f t="shared" si="162"/>
        <v>5.3250999999999999</v>
      </c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  <c r="AA674" s="113"/>
      <c r="AB674" s="113"/>
      <c r="AC674" s="113"/>
      <c r="AD674" s="113"/>
      <c r="AE674" s="113"/>
      <c r="AF674" s="113"/>
      <c r="AG674" s="113"/>
      <c r="AH674" s="113"/>
      <c r="AI674" s="113"/>
      <c r="AJ674" s="113"/>
      <c r="AK674" s="113"/>
      <c r="AL674" s="113"/>
      <c r="AM674" s="113"/>
      <c r="AN674" s="113"/>
      <c r="AO674" s="113"/>
      <c r="AP674" s="113"/>
      <c r="AQ674" s="113"/>
      <c r="AR674" s="113"/>
      <c r="AS674" s="113"/>
      <c r="AT674" s="113"/>
      <c r="AU674" s="113"/>
      <c r="AV674" s="113"/>
      <c r="AW674" s="113"/>
      <c r="AX674" s="113"/>
      <c r="AY674" s="113"/>
      <c r="AZ674" s="113"/>
      <c r="BA674" s="113"/>
      <c r="BB674" s="113"/>
      <c r="BC674" s="113"/>
      <c r="BD674" s="113"/>
      <c r="BE674" s="113"/>
      <c r="BF674" s="113"/>
      <c r="BG674" s="113"/>
      <c r="BH674" s="113"/>
      <c r="BI674" s="113"/>
      <c r="BJ674" s="113"/>
      <c r="BK674" s="113"/>
      <c r="BL674" s="113"/>
      <c r="BM674" s="113"/>
      <c r="BN674" s="113"/>
      <c r="BO674" s="113"/>
      <c r="BP674" s="113"/>
      <c r="BQ674" s="113"/>
      <c r="BR674" s="113"/>
      <c r="BS674" s="113"/>
      <c r="BT674" s="113"/>
      <c r="BU674" s="113"/>
      <c r="BV674" s="113"/>
      <c r="BW674" s="113"/>
      <c r="BX674" s="113"/>
      <c r="BY674" s="113"/>
      <c r="BZ674" s="113"/>
      <c r="CA674" s="113"/>
      <c r="CB674" s="113"/>
      <c r="CC674" s="113"/>
      <c r="CD674" s="113"/>
      <c r="CE674" s="113"/>
      <c r="CF674" s="113"/>
      <c r="CG674" s="113"/>
      <c r="CH674" s="113"/>
      <c r="CI674" s="113"/>
      <c r="CJ674" s="113"/>
      <c r="CK674" s="113"/>
    </row>
    <row r="675" spans="1:89" s="112" customFormat="1">
      <c r="A675" s="162"/>
      <c r="B675" s="129">
        <v>666</v>
      </c>
      <c r="C675" s="106" t="s">
        <v>108</v>
      </c>
      <c r="D675" s="124" t="s">
        <v>47</v>
      </c>
      <c r="E675" s="210">
        <v>200</v>
      </c>
      <c r="F675" s="205">
        <f>(F673+F672)*1.5</f>
        <v>86.925000000000011</v>
      </c>
      <c r="G675" s="205"/>
      <c r="H675" s="205">
        <v>0.6</v>
      </c>
      <c r="I675" s="205">
        <f t="shared" si="153"/>
        <v>1.7999999999999999E-2</v>
      </c>
      <c r="J675" s="147">
        <f t="shared" si="159"/>
        <v>0</v>
      </c>
      <c r="K675" s="147">
        <f t="shared" si="160"/>
        <v>52.155000000000008</v>
      </c>
      <c r="L675" s="147">
        <f t="shared" si="161"/>
        <v>1.5646500000000001</v>
      </c>
      <c r="M675" s="147">
        <f t="shared" si="162"/>
        <v>53.719650000000009</v>
      </c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  <c r="AA675" s="113"/>
      <c r="AB675" s="113"/>
      <c r="AC675" s="113"/>
      <c r="AD675" s="113"/>
      <c r="AE675" s="113"/>
      <c r="AF675" s="113"/>
      <c r="AG675" s="113"/>
      <c r="AH675" s="113"/>
      <c r="AI675" s="113"/>
      <c r="AJ675" s="113"/>
      <c r="AK675" s="113"/>
      <c r="AL675" s="113"/>
      <c r="AM675" s="113"/>
      <c r="AN675" s="113"/>
      <c r="AO675" s="113"/>
      <c r="AP675" s="113"/>
      <c r="AQ675" s="113"/>
      <c r="AR675" s="113"/>
      <c r="AS675" s="113"/>
      <c r="AT675" s="113"/>
      <c r="AU675" s="113"/>
      <c r="AV675" s="113"/>
      <c r="AW675" s="113"/>
      <c r="AX675" s="113"/>
      <c r="AY675" s="113"/>
      <c r="AZ675" s="113"/>
      <c r="BA675" s="113"/>
      <c r="BB675" s="113"/>
      <c r="BC675" s="113"/>
      <c r="BD675" s="113"/>
      <c r="BE675" s="113"/>
      <c r="BF675" s="113"/>
      <c r="BG675" s="113"/>
      <c r="BH675" s="113"/>
      <c r="BI675" s="113"/>
      <c r="BJ675" s="113"/>
      <c r="BK675" s="113"/>
      <c r="BL675" s="113"/>
      <c r="BM675" s="113"/>
      <c r="BN675" s="113"/>
      <c r="BO675" s="113"/>
      <c r="BP675" s="113"/>
      <c r="BQ675" s="113"/>
      <c r="BR675" s="113"/>
      <c r="BS675" s="113"/>
      <c r="BT675" s="113"/>
      <c r="BU675" s="113"/>
      <c r="BV675" s="113"/>
      <c r="BW675" s="113"/>
      <c r="BX675" s="113"/>
      <c r="BY675" s="113"/>
      <c r="BZ675" s="113"/>
      <c r="CA675" s="113"/>
      <c r="CB675" s="113"/>
      <c r="CC675" s="113"/>
      <c r="CD675" s="113"/>
      <c r="CE675" s="113"/>
      <c r="CF675" s="113"/>
      <c r="CG675" s="113"/>
      <c r="CH675" s="113"/>
      <c r="CI675" s="113"/>
      <c r="CJ675" s="113"/>
      <c r="CK675" s="113"/>
    </row>
    <row r="676" spans="1:89" s="112" customFormat="1">
      <c r="A676" s="162"/>
      <c r="B676" s="129">
        <v>667</v>
      </c>
      <c r="C676" s="106" t="s">
        <v>110</v>
      </c>
      <c r="D676" s="124" t="s">
        <v>47</v>
      </c>
      <c r="E676" s="210">
        <v>382</v>
      </c>
      <c r="F676" s="205">
        <v>12</v>
      </c>
      <c r="G676" s="205"/>
      <c r="H676" s="205">
        <v>1.59</v>
      </c>
      <c r="I676" s="205">
        <f t="shared" si="153"/>
        <v>4.7699999999999999E-2</v>
      </c>
      <c r="J676" s="147">
        <f t="shared" si="159"/>
        <v>0</v>
      </c>
      <c r="K676" s="147">
        <f t="shared" si="160"/>
        <v>19.080000000000002</v>
      </c>
      <c r="L676" s="147">
        <f t="shared" si="161"/>
        <v>0.57240000000000002</v>
      </c>
      <c r="M676" s="147">
        <f t="shared" si="162"/>
        <v>19.6524</v>
      </c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  <c r="AA676" s="113"/>
      <c r="AB676" s="113"/>
      <c r="AC676" s="113"/>
      <c r="AD676" s="113"/>
      <c r="AE676" s="113"/>
      <c r="AF676" s="113"/>
      <c r="AG676" s="113"/>
      <c r="AH676" s="113"/>
      <c r="AI676" s="113"/>
      <c r="AJ676" s="113"/>
      <c r="AK676" s="113"/>
      <c r="AL676" s="113"/>
      <c r="AM676" s="113"/>
      <c r="AN676" s="113"/>
      <c r="AO676" s="113"/>
      <c r="AP676" s="113"/>
      <c r="AQ676" s="113"/>
      <c r="AR676" s="113"/>
      <c r="AS676" s="113"/>
      <c r="AT676" s="113"/>
      <c r="AU676" s="113"/>
      <c r="AV676" s="113"/>
      <c r="AW676" s="113"/>
      <c r="AX676" s="113"/>
      <c r="AY676" s="113"/>
      <c r="AZ676" s="113"/>
      <c r="BA676" s="113"/>
      <c r="BB676" s="113"/>
      <c r="BC676" s="113"/>
      <c r="BD676" s="113"/>
      <c r="BE676" s="113"/>
      <c r="BF676" s="113"/>
      <c r="BG676" s="113"/>
      <c r="BH676" s="113"/>
      <c r="BI676" s="113"/>
      <c r="BJ676" s="113"/>
      <c r="BK676" s="113"/>
      <c r="BL676" s="113"/>
      <c r="BM676" s="113"/>
      <c r="BN676" s="113"/>
      <c r="BO676" s="113"/>
      <c r="BP676" s="113"/>
      <c r="BQ676" s="113"/>
      <c r="BR676" s="113"/>
      <c r="BS676" s="113"/>
      <c r="BT676" s="113"/>
      <c r="BU676" s="113"/>
      <c r="BV676" s="113"/>
      <c r="BW676" s="113"/>
      <c r="BX676" s="113"/>
      <c r="BY676" s="113"/>
      <c r="BZ676" s="113"/>
      <c r="CA676" s="113"/>
      <c r="CB676" s="113"/>
      <c r="CC676" s="113"/>
      <c r="CD676" s="113"/>
      <c r="CE676" s="113"/>
      <c r="CF676" s="113"/>
      <c r="CG676" s="113"/>
      <c r="CH676" s="113"/>
      <c r="CI676" s="113"/>
      <c r="CJ676" s="113"/>
      <c r="CK676" s="113"/>
    </row>
    <row r="677" spans="1:89" s="112" customFormat="1">
      <c r="A677" s="162"/>
      <c r="B677" s="129">
        <v>668</v>
      </c>
      <c r="C677" s="106"/>
      <c r="D677" s="124"/>
      <c r="E677" s="210"/>
      <c r="F677" s="205"/>
      <c r="G677" s="205"/>
      <c r="H677" s="205"/>
      <c r="I677" s="205"/>
      <c r="J677" s="147">
        <f t="shared" si="159"/>
        <v>0</v>
      </c>
      <c r="K677" s="147">
        <f t="shared" si="160"/>
        <v>0</v>
      </c>
      <c r="L677" s="147">
        <f t="shared" si="161"/>
        <v>0</v>
      </c>
      <c r="M677" s="147">
        <f t="shared" si="162"/>
        <v>0</v>
      </c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  <c r="AA677" s="113"/>
      <c r="AB677" s="113"/>
      <c r="AC677" s="113"/>
      <c r="AD677" s="113"/>
      <c r="AE677" s="113"/>
      <c r="AF677" s="113"/>
      <c r="AG677" s="113"/>
      <c r="AH677" s="113"/>
      <c r="AI677" s="113"/>
      <c r="AJ677" s="113"/>
      <c r="AK677" s="113"/>
      <c r="AL677" s="113"/>
      <c r="AM677" s="113"/>
      <c r="AN677" s="113"/>
      <c r="AO677" s="113"/>
      <c r="AP677" s="113"/>
      <c r="AQ677" s="113"/>
      <c r="AR677" s="113"/>
      <c r="AS677" s="113"/>
      <c r="AT677" s="113"/>
      <c r="AU677" s="113"/>
      <c r="AV677" s="113"/>
      <c r="AW677" s="113"/>
      <c r="AX677" s="113"/>
      <c r="AY677" s="113"/>
      <c r="AZ677" s="113"/>
      <c r="BA677" s="113"/>
      <c r="BB677" s="113"/>
      <c r="BC677" s="113"/>
      <c r="BD677" s="113"/>
      <c r="BE677" s="113"/>
      <c r="BF677" s="113"/>
      <c r="BG677" s="113"/>
      <c r="BH677" s="113"/>
      <c r="BI677" s="113"/>
      <c r="BJ677" s="113"/>
      <c r="BK677" s="113"/>
      <c r="BL677" s="113"/>
      <c r="BM677" s="113"/>
      <c r="BN677" s="113"/>
      <c r="BO677" s="113"/>
      <c r="BP677" s="113"/>
      <c r="BQ677" s="113"/>
      <c r="BR677" s="113"/>
      <c r="BS677" s="113"/>
      <c r="BT677" s="113"/>
      <c r="BU677" s="113"/>
      <c r="BV677" s="113"/>
      <c r="BW677" s="113"/>
      <c r="BX677" s="113"/>
      <c r="BY677" s="113"/>
      <c r="BZ677" s="113"/>
      <c r="CA677" s="113"/>
      <c r="CB677" s="113"/>
      <c r="CC677" s="113"/>
      <c r="CD677" s="113"/>
      <c r="CE677" s="113"/>
      <c r="CF677" s="113"/>
      <c r="CG677" s="113"/>
      <c r="CH677" s="113"/>
      <c r="CI677" s="113"/>
      <c r="CJ677" s="113"/>
      <c r="CK677" s="113"/>
    </row>
    <row r="678" spans="1:89" ht="24">
      <c r="A678" s="160"/>
      <c r="B678" s="129">
        <v>669</v>
      </c>
      <c r="C678" s="134" t="s">
        <v>407</v>
      </c>
      <c r="D678" s="123" t="s">
        <v>6</v>
      </c>
      <c r="E678" s="204">
        <v>85.5</v>
      </c>
      <c r="F678" s="147">
        <v>85.5</v>
      </c>
      <c r="G678" s="147">
        <v>2.5</v>
      </c>
      <c r="H678" s="147"/>
      <c r="I678" s="205">
        <f t="shared" ref="I678:I710" si="163">(G678*0.1)+(H678*0.03)</f>
        <v>0.25</v>
      </c>
      <c r="J678" s="147">
        <f t="shared" ref="J678:J685" si="164">F678*G678</f>
        <v>213.75</v>
      </c>
      <c r="K678" s="147">
        <f t="shared" ref="K678:K685" si="165">F678*H678</f>
        <v>0</v>
      </c>
      <c r="L678" s="147">
        <f t="shared" ref="L678:L685" si="166">F678*I678</f>
        <v>21.375</v>
      </c>
      <c r="M678" s="147">
        <f t="shared" ref="M678:M685" si="167">J678+K678+L678</f>
        <v>235.125</v>
      </c>
      <c r="CD678" s="104"/>
      <c r="CE678" s="104"/>
      <c r="CF678" s="104"/>
      <c r="CG678" s="104"/>
      <c r="CH678" s="104"/>
      <c r="CI678" s="104"/>
      <c r="CJ678" s="104"/>
      <c r="CK678" s="104"/>
    </row>
    <row r="679" spans="1:89" s="112" customFormat="1">
      <c r="A679" s="162"/>
      <c r="B679" s="129">
        <v>670</v>
      </c>
      <c r="C679" s="106" t="s">
        <v>514</v>
      </c>
      <c r="D679" s="124" t="s">
        <v>47</v>
      </c>
      <c r="E679" s="210">
        <v>58</v>
      </c>
      <c r="F679" s="205">
        <v>58</v>
      </c>
      <c r="G679" s="205"/>
      <c r="H679" s="205">
        <v>2.57</v>
      </c>
      <c r="I679" s="205">
        <f t="shared" si="163"/>
        <v>7.7099999999999988E-2</v>
      </c>
      <c r="J679" s="147">
        <f t="shared" si="164"/>
        <v>0</v>
      </c>
      <c r="K679" s="147">
        <f t="shared" si="165"/>
        <v>149.06</v>
      </c>
      <c r="L679" s="147">
        <f t="shared" si="166"/>
        <v>4.4717999999999991</v>
      </c>
      <c r="M679" s="147">
        <f t="shared" si="167"/>
        <v>153.5318</v>
      </c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  <c r="AA679" s="113"/>
      <c r="AB679" s="113"/>
      <c r="AC679" s="113"/>
      <c r="AD679" s="113"/>
      <c r="AE679" s="113"/>
      <c r="AF679" s="113"/>
      <c r="AG679" s="113"/>
      <c r="AH679" s="113"/>
      <c r="AI679" s="113"/>
      <c r="AJ679" s="113"/>
      <c r="AK679" s="113"/>
      <c r="AL679" s="113"/>
      <c r="AM679" s="113"/>
      <c r="AN679" s="113"/>
      <c r="AO679" s="113"/>
      <c r="AP679" s="113"/>
      <c r="AQ679" s="113"/>
      <c r="AR679" s="113"/>
      <c r="AS679" s="113"/>
      <c r="AT679" s="113"/>
      <c r="AU679" s="113"/>
      <c r="AV679" s="113"/>
      <c r="AW679" s="113"/>
      <c r="AX679" s="113"/>
      <c r="AY679" s="113"/>
      <c r="AZ679" s="113"/>
      <c r="BA679" s="113"/>
      <c r="BB679" s="113"/>
      <c r="BC679" s="113"/>
      <c r="BD679" s="113"/>
      <c r="BE679" s="113"/>
      <c r="BF679" s="113"/>
      <c r="BG679" s="113"/>
      <c r="BH679" s="113"/>
      <c r="BI679" s="113"/>
      <c r="BJ679" s="113"/>
      <c r="BK679" s="113"/>
      <c r="BL679" s="113"/>
      <c r="BM679" s="113"/>
      <c r="BN679" s="113"/>
      <c r="BO679" s="113"/>
      <c r="BP679" s="113"/>
      <c r="BQ679" s="113"/>
      <c r="BR679" s="113"/>
      <c r="BS679" s="113"/>
      <c r="BT679" s="113"/>
      <c r="BU679" s="113"/>
      <c r="BV679" s="113"/>
      <c r="BW679" s="113"/>
      <c r="BX679" s="113"/>
      <c r="BY679" s="113"/>
      <c r="BZ679" s="113"/>
      <c r="CA679" s="113"/>
      <c r="CB679" s="113"/>
      <c r="CC679" s="113"/>
      <c r="CD679" s="113"/>
      <c r="CE679" s="113"/>
      <c r="CF679" s="113"/>
      <c r="CG679" s="113"/>
      <c r="CH679" s="113"/>
      <c r="CI679" s="113"/>
      <c r="CJ679" s="113"/>
      <c r="CK679" s="113"/>
    </row>
    <row r="680" spans="1:89" s="112" customFormat="1">
      <c r="A680" s="113"/>
      <c r="B680" s="129">
        <v>671</v>
      </c>
      <c r="C680" s="106"/>
      <c r="D680" s="124"/>
      <c r="E680" s="210"/>
      <c r="F680" s="205"/>
      <c r="G680" s="205"/>
      <c r="H680" s="205"/>
      <c r="I680" s="205"/>
      <c r="J680" s="147">
        <f t="shared" si="164"/>
        <v>0</v>
      </c>
      <c r="K680" s="147">
        <f t="shared" si="165"/>
        <v>0</v>
      </c>
      <c r="L680" s="147">
        <f t="shared" si="166"/>
        <v>0</v>
      </c>
      <c r="M680" s="147">
        <f t="shared" si="167"/>
        <v>0</v>
      </c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  <c r="AA680" s="113"/>
      <c r="AB680" s="113"/>
      <c r="AC680" s="113"/>
      <c r="AD680" s="113"/>
      <c r="AE680" s="113"/>
      <c r="AF680" s="113"/>
      <c r="AG680" s="113"/>
      <c r="AH680" s="113"/>
      <c r="AI680" s="113"/>
      <c r="AJ680" s="113"/>
      <c r="AK680" s="113"/>
      <c r="AL680" s="113"/>
      <c r="AM680" s="113"/>
      <c r="AN680" s="113"/>
      <c r="AO680" s="113"/>
      <c r="AP680" s="113"/>
      <c r="AQ680" s="113"/>
      <c r="AR680" s="113"/>
      <c r="AS680" s="113"/>
      <c r="AT680" s="113"/>
      <c r="AU680" s="113"/>
      <c r="AV680" s="113"/>
      <c r="AW680" s="113"/>
      <c r="AX680" s="113"/>
      <c r="AY680" s="113"/>
      <c r="AZ680" s="113"/>
      <c r="BA680" s="113"/>
      <c r="BB680" s="113"/>
      <c r="BC680" s="113"/>
      <c r="BD680" s="113"/>
      <c r="BE680" s="113"/>
      <c r="BF680" s="113"/>
      <c r="BG680" s="113"/>
      <c r="BH680" s="113"/>
      <c r="BI680" s="113"/>
      <c r="BJ680" s="113"/>
      <c r="BK680" s="113"/>
      <c r="BL680" s="113"/>
      <c r="BM680" s="113"/>
      <c r="BN680" s="113"/>
      <c r="BO680" s="113"/>
      <c r="BP680" s="113"/>
      <c r="BQ680" s="113"/>
      <c r="BR680" s="113"/>
      <c r="BS680" s="113"/>
      <c r="BT680" s="113"/>
      <c r="BU680" s="113"/>
      <c r="BV680" s="113"/>
      <c r="BW680" s="113"/>
      <c r="BX680" s="113"/>
      <c r="BY680" s="113"/>
      <c r="BZ680" s="113"/>
      <c r="CA680" s="113"/>
      <c r="CB680" s="113"/>
      <c r="CC680" s="113"/>
      <c r="CD680" s="113"/>
      <c r="CE680" s="113"/>
      <c r="CF680" s="113"/>
      <c r="CG680" s="113"/>
      <c r="CH680" s="113"/>
      <c r="CI680" s="113"/>
      <c r="CJ680" s="113"/>
      <c r="CK680" s="113"/>
    </row>
    <row r="681" spans="1:89" ht="24">
      <c r="B681" s="129">
        <v>672</v>
      </c>
      <c r="C681" s="175" t="s">
        <v>403</v>
      </c>
      <c r="D681" s="123"/>
      <c r="E681" s="129"/>
      <c r="F681" s="147"/>
      <c r="G681" s="147"/>
      <c r="H681" s="147"/>
      <c r="I681" s="205"/>
      <c r="J681" s="147">
        <f t="shared" si="164"/>
        <v>0</v>
      </c>
      <c r="K681" s="147">
        <f t="shared" si="165"/>
        <v>0</v>
      </c>
      <c r="L681" s="147">
        <f t="shared" si="166"/>
        <v>0</v>
      </c>
      <c r="M681" s="147">
        <f t="shared" si="167"/>
        <v>0</v>
      </c>
      <c r="CD681" s="104"/>
      <c r="CE681" s="104"/>
      <c r="CF681" s="104"/>
      <c r="CG681" s="104"/>
      <c r="CH681" s="104"/>
      <c r="CI681" s="104"/>
      <c r="CJ681" s="104"/>
      <c r="CK681" s="104"/>
    </row>
    <row r="682" spans="1:89">
      <c r="B682" s="129">
        <v>673</v>
      </c>
      <c r="C682" s="109" t="s">
        <v>404</v>
      </c>
      <c r="D682" s="123" t="s">
        <v>6</v>
      </c>
      <c r="E682" s="129"/>
      <c r="F682" s="147">
        <v>10.4</v>
      </c>
      <c r="G682" s="147">
        <v>5.4</v>
      </c>
      <c r="H682" s="147"/>
      <c r="I682" s="205">
        <f t="shared" si="163"/>
        <v>0.54</v>
      </c>
      <c r="J682" s="147">
        <f t="shared" si="164"/>
        <v>56.160000000000004</v>
      </c>
      <c r="K682" s="147">
        <f t="shared" si="165"/>
        <v>0</v>
      </c>
      <c r="L682" s="147">
        <f t="shared" si="166"/>
        <v>5.6160000000000005</v>
      </c>
      <c r="M682" s="147">
        <f t="shared" si="167"/>
        <v>61.776000000000003</v>
      </c>
      <c r="CD682" s="104"/>
      <c r="CE682" s="104"/>
      <c r="CF682" s="104"/>
      <c r="CG682" s="104"/>
      <c r="CH682" s="104"/>
      <c r="CI682" s="104"/>
      <c r="CJ682" s="104"/>
      <c r="CK682" s="104"/>
    </row>
    <row r="683" spans="1:89">
      <c r="B683" s="129">
        <v>674</v>
      </c>
      <c r="C683" s="106" t="s">
        <v>333</v>
      </c>
      <c r="D683" s="123" t="s">
        <v>47</v>
      </c>
      <c r="E683" s="129"/>
      <c r="F683" s="147">
        <f>4.5*F682</f>
        <v>46.800000000000004</v>
      </c>
      <c r="G683" s="147"/>
      <c r="H683" s="147">
        <v>0.23</v>
      </c>
      <c r="I683" s="205">
        <f t="shared" si="163"/>
        <v>6.8999999999999999E-3</v>
      </c>
      <c r="J683" s="147">
        <f t="shared" si="164"/>
        <v>0</v>
      </c>
      <c r="K683" s="147">
        <f t="shared" si="165"/>
        <v>10.764000000000001</v>
      </c>
      <c r="L683" s="147">
        <f t="shared" si="166"/>
        <v>0.32292000000000004</v>
      </c>
      <c r="M683" s="147">
        <f t="shared" si="167"/>
        <v>11.086920000000001</v>
      </c>
      <c r="CD683" s="104"/>
      <c r="CE683" s="104"/>
      <c r="CF683" s="104"/>
      <c r="CG683" s="104"/>
      <c r="CH683" s="104"/>
      <c r="CI683" s="104"/>
      <c r="CJ683" s="104"/>
      <c r="CK683" s="104"/>
    </row>
    <row r="684" spans="1:89">
      <c r="B684" s="129">
        <v>675</v>
      </c>
      <c r="C684" s="106" t="s">
        <v>57</v>
      </c>
      <c r="D684" s="123" t="s">
        <v>6</v>
      </c>
      <c r="E684" s="129"/>
      <c r="F684" s="147">
        <f>F682*1.05</f>
        <v>10.920000000000002</v>
      </c>
      <c r="G684" s="147"/>
      <c r="H684" s="147">
        <v>6.5</v>
      </c>
      <c r="I684" s="205">
        <f t="shared" si="163"/>
        <v>0.19500000000000001</v>
      </c>
      <c r="J684" s="147">
        <f t="shared" si="164"/>
        <v>0</v>
      </c>
      <c r="K684" s="147">
        <f t="shared" si="165"/>
        <v>70.980000000000018</v>
      </c>
      <c r="L684" s="147">
        <f t="shared" si="166"/>
        <v>2.1294000000000004</v>
      </c>
      <c r="M684" s="147">
        <f t="shared" si="167"/>
        <v>73.109400000000022</v>
      </c>
      <c r="CD684" s="104"/>
      <c r="CE684" s="104"/>
      <c r="CF684" s="104"/>
      <c r="CG684" s="104"/>
      <c r="CH684" s="104"/>
      <c r="CI684" s="104"/>
      <c r="CJ684" s="104"/>
      <c r="CK684" s="104"/>
    </row>
    <row r="685" spans="1:89">
      <c r="B685" s="129">
        <v>676</v>
      </c>
      <c r="C685" s="106" t="s">
        <v>59</v>
      </c>
      <c r="D685" s="123" t="s">
        <v>47</v>
      </c>
      <c r="E685" s="129"/>
      <c r="F685" s="147">
        <f>F682</f>
        <v>10.4</v>
      </c>
      <c r="G685" s="147"/>
      <c r="H685" s="147">
        <v>0.5</v>
      </c>
      <c r="I685" s="205">
        <f t="shared" si="163"/>
        <v>1.4999999999999999E-2</v>
      </c>
      <c r="J685" s="147">
        <f t="shared" si="164"/>
        <v>0</v>
      </c>
      <c r="K685" s="147">
        <f t="shared" si="165"/>
        <v>5.2</v>
      </c>
      <c r="L685" s="147">
        <f t="shared" si="166"/>
        <v>0.156</v>
      </c>
      <c r="M685" s="147">
        <f t="shared" si="167"/>
        <v>5.3559999999999999</v>
      </c>
      <c r="CD685" s="104"/>
      <c r="CE685" s="104"/>
      <c r="CF685" s="104"/>
      <c r="CG685" s="104"/>
      <c r="CH685" s="104"/>
      <c r="CI685" s="104"/>
      <c r="CJ685" s="104"/>
      <c r="CK685" s="104"/>
    </row>
    <row r="686" spans="1:89" ht="25.5" customHeight="1">
      <c r="A686" s="160"/>
      <c r="B686" s="129">
        <v>677</v>
      </c>
      <c r="C686" s="143" t="s">
        <v>446</v>
      </c>
      <c r="D686" s="123" t="s">
        <v>6</v>
      </c>
      <c r="E686" s="204">
        <v>17.5</v>
      </c>
      <c r="F686" s="147">
        <f>121+(4.4*2+2.4)*2.6</f>
        <v>150.12</v>
      </c>
      <c r="G686" s="147">
        <v>3.8</v>
      </c>
      <c r="H686" s="147"/>
      <c r="I686" s="147">
        <f t="shared" si="163"/>
        <v>0.38</v>
      </c>
      <c r="J686" s="147">
        <f t="shared" ref="J686:J710" si="168">F686*G686</f>
        <v>570.45600000000002</v>
      </c>
      <c r="K686" s="147">
        <f t="shared" ref="K686:K710" si="169">F686*H686</f>
        <v>0</v>
      </c>
      <c r="L686" s="147">
        <f t="shared" ref="L686:L710" si="170">F686*I686</f>
        <v>57.0456</v>
      </c>
      <c r="M686" s="147">
        <f t="shared" ref="M686:M710" si="171">J686+K686+L686</f>
        <v>627.50160000000005</v>
      </c>
      <c r="CD686" s="104"/>
      <c r="CE686" s="104"/>
      <c r="CF686" s="104"/>
      <c r="CG686" s="104"/>
      <c r="CH686" s="104"/>
      <c r="CI686" s="104"/>
      <c r="CJ686" s="104"/>
      <c r="CK686" s="104"/>
    </row>
    <row r="687" spans="1:89" s="112" customFormat="1">
      <c r="A687" s="162"/>
      <c r="B687" s="129">
        <v>678</v>
      </c>
      <c r="C687" s="106" t="s">
        <v>414</v>
      </c>
      <c r="D687" s="124" t="s">
        <v>11</v>
      </c>
      <c r="E687" s="210"/>
      <c r="F687" s="205">
        <v>106</v>
      </c>
      <c r="G687" s="205"/>
      <c r="H687" s="205">
        <v>0.81399999999999995</v>
      </c>
      <c r="I687" s="205">
        <f t="shared" si="163"/>
        <v>2.4419999999999997E-2</v>
      </c>
      <c r="J687" s="147">
        <f t="shared" si="168"/>
        <v>0</v>
      </c>
      <c r="K687" s="147">
        <f t="shared" si="169"/>
        <v>86.283999999999992</v>
      </c>
      <c r="L687" s="147">
        <f t="shared" si="170"/>
        <v>2.5885199999999999</v>
      </c>
      <c r="M687" s="147">
        <f t="shared" si="171"/>
        <v>88.872519999999994</v>
      </c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  <c r="AA687" s="113"/>
      <c r="AB687" s="113"/>
      <c r="AC687" s="113"/>
      <c r="AD687" s="113"/>
      <c r="AE687" s="113"/>
      <c r="AF687" s="113"/>
      <c r="AG687" s="113"/>
      <c r="AH687" s="113"/>
      <c r="AI687" s="113"/>
      <c r="AJ687" s="113"/>
      <c r="AK687" s="113"/>
      <c r="AL687" s="113"/>
      <c r="AM687" s="113"/>
      <c r="AN687" s="113"/>
      <c r="AO687" s="113"/>
      <c r="AP687" s="113"/>
      <c r="AQ687" s="113"/>
      <c r="AR687" s="113"/>
      <c r="AS687" s="113"/>
      <c r="AT687" s="113"/>
      <c r="AU687" s="113"/>
      <c r="AV687" s="113"/>
      <c r="AW687" s="113"/>
      <c r="AX687" s="113"/>
      <c r="AY687" s="113"/>
      <c r="AZ687" s="113"/>
      <c r="BA687" s="113"/>
      <c r="BB687" s="113"/>
      <c r="BC687" s="113"/>
      <c r="BD687" s="113"/>
      <c r="BE687" s="113"/>
      <c r="BF687" s="113"/>
      <c r="BG687" s="113"/>
      <c r="BH687" s="113"/>
      <c r="BI687" s="113"/>
      <c r="BJ687" s="113"/>
      <c r="BK687" s="113"/>
      <c r="BL687" s="113"/>
      <c r="BM687" s="113"/>
      <c r="BN687" s="113"/>
      <c r="BO687" s="113"/>
      <c r="BP687" s="113"/>
      <c r="BQ687" s="113"/>
      <c r="BR687" s="113"/>
      <c r="BS687" s="113"/>
      <c r="BT687" s="113"/>
      <c r="BU687" s="113"/>
      <c r="BV687" s="113"/>
      <c r="BW687" s="113"/>
      <c r="BX687" s="113"/>
      <c r="BY687" s="113"/>
      <c r="BZ687" s="113"/>
      <c r="CA687" s="113"/>
      <c r="CB687" s="113"/>
      <c r="CC687" s="113"/>
      <c r="CD687" s="113"/>
      <c r="CE687" s="113"/>
      <c r="CF687" s="113"/>
      <c r="CG687" s="113"/>
      <c r="CH687" s="113"/>
      <c r="CI687" s="113"/>
      <c r="CJ687" s="113"/>
      <c r="CK687" s="113"/>
    </row>
    <row r="688" spans="1:89" s="112" customFormat="1">
      <c r="A688" s="162"/>
      <c r="B688" s="129">
        <v>679</v>
      </c>
      <c r="C688" s="106" t="s">
        <v>413</v>
      </c>
      <c r="D688" s="124" t="s">
        <v>11</v>
      </c>
      <c r="E688" s="210"/>
      <c r="F688" s="205">
        <f>(4.1+4.1+3)*6/3</f>
        <v>22.399999999999995</v>
      </c>
      <c r="G688" s="205"/>
      <c r="H688" s="205">
        <v>0.72</v>
      </c>
      <c r="I688" s="205">
        <f t="shared" si="163"/>
        <v>2.1599999999999998E-2</v>
      </c>
      <c r="J688" s="147">
        <f t="shared" si="168"/>
        <v>0</v>
      </c>
      <c r="K688" s="147">
        <f t="shared" si="169"/>
        <v>16.127999999999997</v>
      </c>
      <c r="L688" s="147">
        <f t="shared" si="170"/>
        <v>0.48383999999999983</v>
      </c>
      <c r="M688" s="147">
        <f t="shared" si="171"/>
        <v>16.611839999999997</v>
      </c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  <c r="AA688" s="113"/>
      <c r="AB688" s="113"/>
      <c r="AC688" s="113"/>
      <c r="AD688" s="113"/>
      <c r="AE688" s="113"/>
      <c r="AF688" s="113"/>
      <c r="AG688" s="113"/>
      <c r="AH688" s="113"/>
      <c r="AI688" s="113"/>
      <c r="AJ688" s="113"/>
      <c r="AK688" s="113"/>
      <c r="AL688" s="113"/>
      <c r="AM688" s="113"/>
      <c r="AN688" s="113"/>
      <c r="AO688" s="113"/>
      <c r="AP688" s="113"/>
      <c r="AQ688" s="113"/>
      <c r="AR688" s="113"/>
      <c r="AS688" s="113"/>
      <c r="AT688" s="113"/>
      <c r="AU688" s="113"/>
      <c r="AV688" s="113"/>
      <c r="AW688" s="113"/>
      <c r="AX688" s="113"/>
      <c r="AY688" s="113"/>
      <c r="AZ688" s="113"/>
      <c r="BA688" s="113"/>
      <c r="BB688" s="113"/>
      <c r="BC688" s="113"/>
      <c r="BD688" s="113"/>
      <c r="BE688" s="113"/>
      <c r="BF688" s="113"/>
      <c r="BG688" s="113"/>
      <c r="BH688" s="113"/>
      <c r="BI688" s="113"/>
      <c r="BJ688" s="113"/>
      <c r="BK688" s="113"/>
      <c r="BL688" s="113"/>
      <c r="BM688" s="113"/>
      <c r="BN688" s="113"/>
      <c r="BO688" s="113"/>
      <c r="BP688" s="113"/>
      <c r="BQ688" s="113"/>
      <c r="BR688" s="113"/>
      <c r="BS688" s="113"/>
      <c r="BT688" s="113"/>
      <c r="BU688" s="113"/>
      <c r="BV688" s="113"/>
      <c r="BW688" s="113"/>
      <c r="BX688" s="113"/>
      <c r="BY688" s="113"/>
      <c r="BZ688" s="113"/>
      <c r="CA688" s="113"/>
      <c r="CB688" s="113"/>
      <c r="CC688" s="113"/>
      <c r="CD688" s="113"/>
      <c r="CE688" s="113"/>
      <c r="CF688" s="113"/>
      <c r="CG688" s="113"/>
      <c r="CH688" s="113"/>
      <c r="CI688" s="113"/>
      <c r="CJ688" s="113"/>
      <c r="CK688" s="113"/>
    </row>
    <row r="689" spans="1:89" s="112" customFormat="1">
      <c r="A689" s="162"/>
      <c r="B689" s="129">
        <v>680</v>
      </c>
      <c r="C689" s="106" t="s">
        <v>135</v>
      </c>
      <c r="D689" s="124" t="s">
        <v>11</v>
      </c>
      <c r="E689" s="210">
        <v>4</v>
      </c>
      <c r="F689" s="205">
        <v>212</v>
      </c>
      <c r="G689" s="205"/>
      <c r="H689" s="205">
        <v>7.0000000000000007E-2</v>
      </c>
      <c r="I689" s="205">
        <f t="shared" si="163"/>
        <v>2.1000000000000003E-3</v>
      </c>
      <c r="J689" s="147">
        <f t="shared" si="168"/>
        <v>0</v>
      </c>
      <c r="K689" s="147">
        <f t="shared" si="169"/>
        <v>14.840000000000002</v>
      </c>
      <c r="L689" s="147">
        <f t="shared" si="170"/>
        <v>0.44520000000000004</v>
      </c>
      <c r="M689" s="147">
        <f t="shared" si="171"/>
        <v>15.285200000000001</v>
      </c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  <c r="AA689" s="113"/>
      <c r="AB689" s="113"/>
      <c r="AC689" s="113"/>
      <c r="AD689" s="113"/>
      <c r="AE689" s="113"/>
      <c r="AF689" s="113"/>
      <c r="AG689" s="113"/>
      <c r="AH689" s="113"/>
      <c r="AI689" s="113"/>
      <c r="AJ689" s="113"/>
      <c r="AK689" s="113"/>
      <c r="AL689" s="113"/>
      <c r="AM689" s="113"/>
      <c r="AN689" s="113"/>
      <c r="AO689" s="113"/>
      <c r="AP689" s="113"/>
      <c r="AQ689" s="113"/>
      <c r="AR689" s="113"/>
      <c r="AS689" s="113"/>
      <c r="AT689" s="113"/>
      <c r="AU689" s="113"/>
      <c r="AV689" s="113"/>
      <c r="AW689" s="113"/>
      <c r="AX689" s="113"/>
      <c r="AY689" s="113"/>
      <c r="AZ689" s="113"/>
      <c r="BA689" s="113"/>
      <c r="BB689" s="113"/>
      <c r="BC689" s="113"/>
      <c r="BD689" s="113"/>
      <c r="BE689" s="113"/>
      <c r="BF689" s="113"/>
      <c r="BG689" s="113"/>
      <c r="BH689" s="113"/>
      <c r="BI689" s="113"/>
      <c r="BJ689" s="113"/>
      <c r="BK689" s="113"/>
      <c r="BL689" s="113"/>
      <c r="BM689" s="113"/>
      <c r="BN689" s="113"/>
      <c r="BO689" s="113"/>
      <c r="BP689" s="113"/>
      <c r="BQ689" s="113"/>
      <c r="BR689" s="113"/>
      <c r="BS689" s="113"/>
      <c r="BT689" s="113"/>
      <c r="BU689" s="113"/>
      <c r="BV689" s="113"/>
      <c r="BW689" s="113"/>
      <c r="BX689" s="113"/>
      <c r="BY689" s="113"/>
      <c r="BZ689" s="113"/>
      <c r="CA689" s="113"/>
      <c r="CB689" s="113"/>
      <c r="CC689" s="113"/>
      <c r="CD689" s="113"/>
      <c r="CE689" s="113"/>
      <c r="CF689" s="113"/>
      <c r="CG689" s="113"/>
      <c r="CH689" s="113"/>
      <c r="CI689" s="113"/>
      <c r="CJ689" s="113"/>
      <c r="CK689" s="113"/>
    </row>
    <row r="690" spans="1:89" s="112" customFormat="1">
      <c r="A690" s="162"/>
      <c r="B690" s="129">
        <v>681</v>
      </c>
      <c r="C690" s="106" t="s">
        <v>149</v>
      </c>
      <c r="D690" s="124" t="s">
        <v>11</v>
      </c>
      <c r="E690" s="210">
        <v>18</v>
      </c>
      <c r="F690" s="205">
        <v>212</v>
      </c>
      <c r="G690" s="205"/>
      <c r="H690" s="205">
        <v>0.44</v>
      </c>
      <c r="I690" s="205">
        <f t="shared" si="163"/>
        <v>1.32E-2</v>
      </c>
      <c r="J690" s="147">
        <f t="shared" si="168"/>
        <v>0</v>
      </c>
      <c r="K690" s="147">
        <f t="shared" si="169"/>
        <v>93.28</v>
      </c>
      <c r="L690" s="147">
        <f t="shared" si="170"/>
        <v>2.7984</v>
      </c>
      <c r="M690" s="147">
        <f t="shared" si="171"/>
        <v>96.078400000000002</v>
      </c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  <c r="AA690" s="113"/>
      <c r="AB690" s="113"/>
      <c r="AC690" s="113"/>
      <c r="AD690" s="113"/>
      <c r="AE690" s="113"/>
      <c r="AF690" s="113"/>
      <c r="AG690" s="113"/>
      <c r="AH690" s="113"/>
      <c r="AI690" s="113"/>
      <c r="AJ690" s="113"/>
      <c r="AK690" s="113"/>
      <c r="AL690" s="113"/>
      <c r="AM690" s="113"/>
      <c r="AN690" s="113"/>
      <c r="AO690" s="113"/>
      <c r="AP690" s="113"/>
      <c r="AQ690" s="113"/>
      <c r="AR690" s="113"/>
      <c r="AS690" s="113"/>
      <c r="AT690" s="113"/>
      <c r="AU690" s="113"/>
      <c r="AV690" s="113"/>
      <c r="AW690" s="113"/>
      <c r="AX690" s="113"/>
      <c r="AY690" s="113"/>
      <c r="AZ690" s="113"/>
      <c r="BA690" s="113"/>
      <c r="BB690" s="113"/>
      <c r="BC690" s="113"/>
      <c r="BD690" s="113"/>
      <c r="BE690" s="113"/>
      <c r="BF690" s="113"/>
      <c r="BG690" s="113"/>
      <c r="BH690" s="113"/>
      <c r="BI690" s="113"/>
      <c r="BJ690" s="113"/>
      <c r="BK690" s="113"/>
      <c r="BL690" s="113"/>
      <c r="BM690" s="113"/>
      <c r="BN690" s="113"/>
      <c r="BO690" s="113"/>
      <c r="BP690" s="113"/>
      <c r="BQ690" s="113"/>
      <c r="BR690" s="113"/>
      <c r="BS690" s="113"/>
      <c r="BT690" s="113"/>
      <c r="BU690" s="113"/>
      <c r="BV690" s="113"/>
      <c r="BW690" s="113"/>
      <c r="BX690" s="113"/>
      <c r="BY690" s="113"/>
      <c r="BZ690" s="113"/>
      <c r="CA690" s="113"/>
      <c r="CB690" s="113"/>
      <c r="CC690" s="113"/>
      <c r="CD690" s="113"/>
      <c r="CE690" s="113"/>
      <c r="CF690" s="113"/>
      <c r="CG690" s="113"/>
      <c r="CH690" s="113"/>
      <c r="CI690" s="113"/>
      <c r="CJ690" s="113"/>
      <c r="CK690" s="113"/>
    </row>
    <row r="691" spans="1:89">
      <c r="B691" s="129">
        <v>682</v>
      </c>
      <c r="C691" s="106" t="s">
        <v>447</v>
      </c>
      <c r="D691" s="123" t="s">
        <v>83</v>
      </c>
      <c r="E691" s="129"/>
      <c r="F691" s="147">
        <v>6</v>
      </c>
      <c r="G691" s="147"/>
      <c r="H691" s="147">
        <v>1.19</v>
      </c>
      <c r="I691" s="205">
        <f>(G691*0.1)+(H691*0.03)</f>
        <v>3.5699999999999996E-2</v>
      </c>
      <c r="J691" s="147">
        <f t="shared" si="168"/>
        <v>0</v>
      </c>
      <c r="K691" s="147">
        <f t="shared" si="169"/>
        <v>7.14</v>
      </c>
      <c r="L691" s="147">
        <f t="shared" si="170"/>
        <v>0.21419999999999997</v>
      </c>
      <c r="M691" s="147">
        <f t="shared" si="171"/>
        <v>7.3541999999999996</v>
      </c>
      <c r="CD691" s="104"/>
      <c r="CE691" s="104"/>
      <c r="CF691" s="104"/>
      <c r="CG691" s="104"/>
      <c r="CH691" s="104"/>
      <c r="CI691" s="104"/>
      <c r="CJ691" s="104"/>
      <c r="CK691" s="104"/>
    </row>
    <row r="692" spans="1:89" s="112" customFormat="1">
      <c r="A692" s="162"/>
      <c r="B692" s="129">
        <v>683</v>
      </c>
      <c r="C692" s="106" t="s">
        <v>91</v>
      </c>
      <c r="D692" s="124" t="s">
        <v>6</v>
      </c>
      <c r="E692" s="210">
        <v>74</v>
      </c>
      <c r="F692" s="205">
        <f>(F696*2)+13</f>
        <v>265.29000000000002</v>
      </c>
      <c r="G692" s="205"/>
      <c r="H692" s="205">
        <v>0.94</v>
      </c>
      <c r="I692" s="205">
        <f>(G692*0.1)+(H692*0.03)</f>
        <v>2.8199999999999996E-2</v>
      </c>
      <c r="J692" s="147">
        <f t="shared" si="168"/>
        <v>0</v>
      </c>
      <c r="K692" s="147">
        <f t="shared" si="169"/>
        <v>249.37260000000001</v>
      </c>
      <c r="L692" s="147">
        <f t="shared" si="170"/>
        <v>7.4811779999999999</v>
      </c>
      <c r="M692" s="147">
        <f t="shared" si="171"/>
        <v>256.85377800000003</v>
      </c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  <c r="AA692" s="113"/>
      <c r="AB692" s="113"/>
      <c r="AC692" s="113"/>
      <c r="AD692" s="113"/>
      <c r="AE692" s="113"/>
      <c r="AF692" s="113"/>
      <c r="AG692" s="113"/>
      <c r="AH692" s="113"/>
      <c r="AI692" s="113"/>
      <c r="AJ692" s="113"/>
      <c r="AK692" s="113"/>
      <c r="AL692" s="113"/>
      <c r="AM692" s="113"/>
      <c r="AN692" s="113"/>
      <c r="AO692" s="113"/>
      <c r="AP692" s="113"/>
      <c r="AQ692" s="113"/>
      <c r="AR692" s="113"/>
      <c r="AS692" s="113"/>
      <c r="AT692" s="113"/>
      <c r="AU692" s="113"/>
      <c r="AV692" s="113"/>
      <c r="AW692" s="113"/>
      <c r="AX692" s="113"/>
      <c r="AY692" s="113"/>
      <c r="AZ692" s="113"/>
      <c r="BA692" s="113"/>
      <c r="BB692" s="113"/>
      <c r="BC692" s="113"/>
      <c r="BD692" s="113"/>
      <c r="BE692" s="113"/>
      <c r="BF692" s="113"/>
      <c r="BG692" s="113"/>
      <c r="BH692" s="113"/>
      <c r="BI692" s="113"/>
      <c r="BJ692" s="113"/>
      <c r="BK692" s="113"/>
      <c r="BL692" s="113"/>
      <c r="BM692" s="113"/>
      <c r="BN692" s="113"/>
      <c r="BO692" s="113"/>
      <c r="BP692" s="113"/>
      <c r="BQ692" s="113"/>
      <c r="BR692" s="113"/>
      <c r="BS692" s="113"/>
      <c r="BT692" s="113"/>
      <c r="BU692" s="113"/>
      <c r="BV692" s="113"/>
      <c r="BW692" s="113"/>
      <c r="BX692" s="113"/>
      <c r="BY692" s="113"/>
      <c r="BZ692" s="113"/>
      <c r="CA692" s="113"/>
      <c r="CB692" s="113"/>
      <c r="CC692" s="113"/>
      <c r="CD692" s="113"/>
      <c r="CE692" s="113"/>
      <c r="CF692" s="113"/>
      <c r="CG692" s="113"/>
      <c r="CH692" s="113"/>
      <c r="CI692" s="113"/>
      <c r="CJ692" s="113"/>
      <c r="CK692" s="113"/>
    </row>
    <row r="693" spans="1:89" s="112" customFormat="1">
      <c r="A693" s="162"/>
      <c r="B693" s="129">
        <v>684</v>
      </c>
      <c r="C693" s="106" t="s">
        <v>92</v>
      </c>
      <c r="D693" s="124" t="s">
        <v>34</v>
      </c>
      <c r="E693" s="210">
        <v>35</v>
      </c>
      <c r="F693" s="205">
        <v>90</v>
      </c>
      <c r="G693" s="205"/>
      <c r="H693" s="205">
        <v>0.04</v>
      </c>
      <c r="I693" s="205">
        <f>(G693*0.1)+(H693*0.03)</f>
        <v>1.1999999999999999E-3</v>
      </c>
      <c r="J693" s="147">
        <f t="shared" si="168"/>
        <v>0</v>
      </c>
      <c r="K693" s="147">
        <f t="shared" si="169"/>
        <v>3.6</v>
      </c>
      <c r="L693" s="147">
        <f t="shared" si="170"/>
        <v>0.10799999999999998</v>
      </c>
      <c r="M693" s="147">
        <f t="shared" si="171"/>
        <v>3.7080000000000002</v>
      </c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  <c r="AA693" s="113"/>
      <c r="AB693" s="113"/>
      <c r="AC693" s="113"/>
      <c r="AD693" s="113"/>
      <c r="AE693" s="113"/>
      <c r="AF693" s="113"/>
      <c r="AG693" s="113"/>
      <c r="AH693" s="113"/>
      <c r="AI693" s="113"/>
      <c r="AJ693" s="113"/>
      <c r="AK693" s="113"/>
      <c r="AL693" s="113"/>
      <c r="AM693" s="113"/>
      <c r="AN693" s="113"/>
      <c r="AO693" s="113"/>
      <c r="AP693" s="113"/>
      <c r="AQ693" s="113"/>
      <c r="AR693" s="113"/>
      <c r="AS693" s="113"/>
      <c r="AT693" s="113"/>
      <c r="AU693" s="113"/>
      <c r="AV693" s="113"/>
      <c r="AW693" s="113"/>
      <c r="AX693" s="113"/>
      <c r="AY693" s="113"/>
      <c r="AZ693" s="113"/>
      <c r="BA693" s="113"/>
      <c r="BB693" s="113"/>
      <c r="BC693" s="113"/>
      <c r="BD693" s="113"/>
      <c r="BE693" s="113"/>
      <c r="BF693" s="113"/>
      <c r="BG693" s="113"/>
      <c r="BH693" s="113"/>
      <c r="BI693" s="113"/>
      <c r="BJ693" s="113"/>
      <c r="BK693" s="113"/>
      <c r="BL693" s="113"/>
      <c r="BM693" s="113"/>
      <c r="BN693" s="113"/>
      <c r="BO693" s="113"/>
      <c r="BP693" s="113"/>
      <c r="BQ693" s="113"/>
      <c r="BR693" s="113"/>
      <c r="BS693" s="113"/>
      <c r="BT693" s="113"/>
      <c r="BU693" s="113"/>
      <c r="BV693" s="113"/>
      <c r="BW693" s="113"/>
      <c r="BX693" s="113"/>
      <c r="BY693" s="113"/>
      <c r="BZ693" s="113"/>
      <c r="CA693" s="113"/>
      <c r="CB693" s="113"/>
      <c r="CC693" s="113"/>
      <c r="CD693" s="113"/>
      <c r="CE693" s="113"/>
      <c r="CF693" s="113"/>
      <c r="CG693" s="113"/>
      <c r="CH693" s="113"/>
      <c r="CI693" s="113"/>
      <c r="CJ693" s="113"/>
      <c r="CK693" s="113"/>
    </row>
    <row r="694" spans="1:89" s="112" customFormat="1">
      <c r="A694" s="162"/>
      <c r="B694" s="129">
        <v>685</v>
      </c>
      <c r="C694" s="106" t="s">
        <v>93</v>
      </c>
      <c r="D694" s="124" t="s">
        <v>47</v>
      </c>
      <c r="E694" s="210">
        <v>25</v>
      </c>
      <c r="F694" s="205">
        <v>40</v>
      </c>
      <c r="G694" s="205"/>
      <c r="H694" s="205">
        <v>0.6</v>
      </c>
      <c r="I694" s="205">
        <f>(G694*0.1)+(H694*0.03)</f>
        <v>1.7999999999999999E-2</v>
      </c>
      <c r="J694" s="147">
        <f t="shared" si="168"/>
        <v>0</v>
      </c>
      <c r="K694" s="147">
        <f t="shared" si="169"/>
        <v>24</v>
      </c>
      <c r="L694" s="147">
        <f t="shared" si="170"/>
        <v>0.72</v>
      </c>
      <c r="M694" s="147">
        <f t="shared" si="171"/>
        <v>24.72</v>
      </c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  <c r="AA694" s="113"/>
      <c r="AB694" s="113"/>
      <c r="AC694" s="113"/>
      <c r="AD694" s="113"/>
      <c r="AE694" s="113"/>
      <c r="AF694" s="113"/>
      <c r="AG694" s="113"/>
      <c r="AH694" s="113"/>
      <c r="AI694" s="113"/>
      <c r="AJ694" s="113"/>
      <c r="AK694" s="113"/>
      <c r="AL694" s="113"/>
      <c r="AM694" s="113"/>
      <c r="AN694" s="113"/>
      <c r="AO694" s="113"/>
      <c r="AP694" s="113"/>
      <c r="AQ694" s="113"/>
      <c r="AR694" s="113"/>
      <c r="AS694" s="113"/>
      <c r="AT694" s="113"/>
      <c r="AU694" s="113"/>
      <c r="AV694" s="113"/>
      <c r="AW694" s="113"/>
      <c r="AX694" s="113"/>
      <c r="AY694" s="113"/>
      <c r="AZ694" s="113"/>
      <c r="BA694" s="113"/>
      <c r="BB694" s="113"/>
      <c r="BC694" s="113"/>
      <c r="BD694" s="113"/>
      <c r="BE694" s="113"/>
      <c r="BF694" s="113"/>
      <c r="BG694" s="113"/>
      <c r="BH694" s="113"/>
      <c r="BI694" s="113"/>
      <c r="BJ694" s="113"/>
      <c r="BK694" s="113"/>
      <c r="BL694" s="113"/>
      <c r="BM694" s="113"/>
      <c r="BN694" s="113"/>
      <c r="BO694" s="113"/>
      <c r="BP694" s="113"/>
      <c r="BQ694" s="113"/>
      <c r="BR694" s="113"/>
      <c r="BS694" s="113"/>
      <c r="BT694" s="113"/>
      <c r="BU694" s="113"/>
      <c r="BV694" s="113"/>
      <c r="BW694" s="113"/>
      <c r="BX694" s="113"/>
      <c r="BY694" s="113"/>
      <c r="BZ694" s="113"/>
      <c r="CA694" s="113"/>
      <c r="CB694" s="113"/>
      <c r="CC694" s="113"/>
      <c r="CD694" s="113"/>
      <c r="CE694" s="113"/>
      <c r="CF694" s="113"/>
      <c r="CG694" s="113"/>
      <c r="CH694" s="113"/>
      <c r="CI694" s="113"/>
      <c r="CJ694" s="113"/>
      <c r="CK694" s="113"/>
    </row>
    <row r="695" spans="1:89">
      <c r="A695" s="160"/>
      <c r="B695" s="129">
        <v>686</v>
      </c>
      <c r="C695" s="143" t="s">
        <v>408</v>
      </c>
      <c r="D695" s="123"/>
      <c r="E695" s="204"/>
      <c r="F695" s="147"/>
      <c r="G695" s="147"/>
      <c r="H695" s="147"/>
      <c r="I695" s="205"/>
      <c r="J695" s="147">
        <f t="shared" si="168"/>
        <v>0</v>
      </c>
      <c r="K695" s="147">
        <f t="shared" si="169"/>
        <v>0</v>
      </c>
      <c r="L695" s="147">
        <f t="shared" si="170"/>
        <v>0</v>
      </c>
      <c r="M695" s="147">
        <f t="shared" si="171"/>
        <v>0</v>
      </c>
      <c r="CD695" s="104"/>
      <c r="CE695" s="104"/>
      <c r="CF695" s="104"/>
      <c r="CG695" s="104"/>
      <c r="CH695" s="104"/>
      <c r="CI695" s="104"/>
      <c r="CJ695" s="104"/>
      <c r="CK695" s="104"/>
    </row>
    <row r="696" spans="1:89">
      <c r="A696" s="160"/>
      <c r="B696" s="129">
        <v>687</v>
      </c>
      <c r="C696" s="156" t="s">
        <v>106</v>
      </c>
      <c r="D696" s="123" t="s">
        <v>6</v>
      </c>
      <c r="E696" s="204">
        <v>570</v>
      </c>
      <c r="F696" s="147">
        <f>((4.1+2.95-0.6+4.1)*11.4)+(2.35*2.5)</f>
        <v>126.14500000000001</v>
      </c>
      <c r="G696" s="147">
        <v>1.85</v>
      </c>
      <c r="H696" s="147"/>
      <c r="I696" s="205">
        <f t="shared" si="163"/>
        <v>0.18500000000000003</v>
      </c>
      <c r="J696" s="147">
        <f t="shared" si="168"/>
        <v>233.36825000000002</v>
      </c>
      <c r="K696" s="147">
        <f t="shared" si="169"/>
        <v>0</v>
      </c>
      <c r="L696" s="147">
        <f t="shared" si="170"/>
        <v>23.336825000000005</v>
      </c>
      <c r="M696" s="147">
        <f t="shared" si="171"/>
        <v>256.70507500000002</v>
      </c>
      <c r="CD696" s="104"/>
      <c r="CE696" s="104"/>
      <c r="CF696" s="104"/>
      <c r="CG696" s="104"/>
      <c r="CH696" s="104"/>
      <c r="CI696" s="104"/>
      <c r="CJ696" s="104"/>
      <c r="CK696" s="104"/>
    </row>
    <row r="697" spans="1:89">
      <c r="A697" s="160"/>
      <c r="B697" s="129">
        <v>688</v>
      </c>
      <c r="C697" s="156" t="s">
        <v>107</v>
      </c>
      <c r="D697" s="123" t="s">
        <v>6</v>
      </c>
      <c r="E697" s="204">
        <v>249</v>
      </c>
      <c r="F697" s="147">
        <f>10.4*1.25</f>
        <v>13</v>
      </c>
      <c r="G697" s="147">
        <v>2.0499999999999998</v>
      </c>
      <c r="H697" s="147"/>
      <c r="I697" s="205">
        <f t="shared" si="163"/>
        <v>0.20499999999999999</v>
      </c>
      <c r="J697" s="147">
        <f t="shared" si="168"/>
        <v>26.65</v>
      </c>
      <c r="K697" s="147">
        <f t="shared" si="169"/>
        <v>0</v>
      </c>
      <c r="L697" s="147">
        <f t="shared" si="170"/>
        <v>2.665</v>
      </c>
      <c r="M697" s="147">
        <f t="shared" si="171"/>
        <v>29.314999999999998</v>
      </c>
      <c r="CD697" s="104"/>
      <c r="CE697" s="104"/>
      <c r="CF697" s="104"/>
      <c r="CG697" s="104"/>
      <c r="CH697" s="104"/>
      <c r="CI697" s="104"/>
      <c r="CJ697" s="104"/>
      <c r="CK697" s="104"/>
    </row>
    <row r="698" spans="1:89" s="112" customFormat="1">
      <c r="B698" s="129">
        <v>689</v>
      </c>
      <c r="C698" s="106" t="s">
        <v>391</v>
      </c>
      <c r="D698" s="124" t="s">
        <v>502</v>
      </c>
      <c r="E698" s="117"/>
      <c r="F698" s="205">
        <v>3</v>
      </c>
      <c r="G698" s="205"/>
      <c r="H698" s="205">
        <v>5.17</v>
      </c>
      <c r="I698" s="205">
        <f t="shared" si="163"/>
        <v>0.15509999999999999</v>
      </c>
      <c r="J698" s="147">
        <f t="shared" si="168"/>
        <v>0</v>
      </c>
      <c r="K698" s="147">
        <f t="shared" si="169"/>
        <v>15.51</v>
      </c>
      <c r="L698" s="147">
        <f t="shared" si="170"/>
        <v>0.46529999999999994</v>
      </c>
      <c r="M698" s="147">
        <f t="shared" si="171"/>
        <v>15.975299999999999</v>
      </c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  <c r="AA698" s="113"/>
      <c r="AB698" s="113"/>
      <c r="AC698" s="113"/>
      <c r="AD698" s="113"/>
      <c r="AE698" s="113"/>
      <c r="AF698" s="113"/>
      <c r="AG698" s="113"/>
      <c r="AH698" s="113"/>
      <c r="AI698" s="113"/>
      <c r="AJ698" s="113"/>
      <c r="AK698" s="113"/>
      <c r="AL698" s="113"/>
      <c r="AM698" s="113"/>
      <c r="AN698" s="113"/>
      <c r="AO698" s="113"/>
      <c r="AP698" s="113"/>
      <c r="AQ698" s="113"/>
      <c r="AR698" s="113"/>
      <c r="AS698" s="113"/>
      <c r="AT698" s="113"/>
      <c r="AU698" s="113"/>
      <c r="AV698" s="113"/>
      <c r="AW698" s="113"/>
      <c r="AX698" s="113"/>
      <c r="AY698" s="113"/>
      <c r="AZ698" s="113"/>
      <c r="BA698" s="113"/>
      <c r="BB698" s="113"/>
      <c r="BC698" s="113"/>
      <c r="BD698" s="113"/>
      <c r="BE698" s="113"/>
      <c r="BF698" s="113"/>
      <c r="BG698" s="113"/>
      <c r="BH698" s="113"/>
      <c r="BI698" s="113"/>
      <c r="BJ698" s="113"/>
      <c r="BK698" s="113"/>
      <c r="BL698" s="113"/>
      <c r="BM698" s="113"/>
      <c r="BN698" s="113"/>
      <c r="BO698" s="113"/>
      <c r="BP698" s="113"/>
      <c r="BQ698" s="113"/>
      <c r="BR698" s="113"/>
      <c r="BS698" s="113"/>
      <c r="BT698" s="113"/>
      <c r="BU698" s="113"/>
      <c r="BV698" s="113"/>
      <c r="BW698" s="113"/>
      <c r="BX698" s="113"/>
      <c r="BY698" s="113"/>
      <c r="BZ698" s="113"/>
      <c r="CA698" s="113"/>
      <c r="CB698" s="113"/>
      <c r="CC698" s="113"/>
      <c r="CD698" s="113"/>
      <c r="CE698" s="113"/>
      <c r="CF698" s="113"/>
      <c r="CG698" s="113"/>
      <c r="CH698" s="113"/>
      <c r="CI698" s="113"/>
      <c r="CJ698" s="113"/>
      <c r="CK698" s="113"/>
    </row>
    <row r="699" spans="1:89" s="112" customFormat="1">
      <c r="A699" s="162"/>
      <c r="B699" s="129">
        <v>690</v>
      </c>
      <c r="C699" s="106" t="s">
        <v>108</v>
      </c>
      <c r="D699" s="124" t="s">
        <v>47</v>
      </c>
      <c r="E699" s="210">
        <v>200</v>
      </c>
      <c r="F699" s="205">
        <f>(F697+F696)*1.5</f>
        <v>208.71750000000003</v>
      </c>
      <c r="G699" s="205"/>
      <c r="H699" s="205">
        <v>0.6</v>
      </c>
      <c r="I699" s="205">
        <f t="shared" si="163"/>
        <v>1.7999999999999999E-2</v>
      </c>
      <c r="J699" s="147">
        <f t="shared" si="168"/>
        <v>0</v>
      </c>
      <c r="K699" s="147">
        <f t="shared" si="169"/>
        <v>125.23050000000001</v>
      </c>
      <c r="L699" s="147">
        <f t="shared" si="170"/>
        <v>3.7569150000000002</v>
      </c>
      <c r="M699" s="147">
        <f t="shared" si="171"/>
        <v>128.987415</v>
      </c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  <c r="AA699" s="113"/>
      <c r="AB699" s="113"/>
      <c r="AC699" s="113"/>
      <c r="AD699" s="113"/>
      <c r="AE699" s="113"/>
      <c r="AF699" s="113"/>
      <c r="AG699" s="113"/>
      <c r="AH699" s="113"/>
      <c r="AI699" s="113"/>
      <c r="AJ699" s="113"/>
      <c r="AK699" s="113"/>
      <c r="AL699" s="113"/>
      <c r="AM699" s="113"/>
      <c r="AN699" s="113"/>
      <c r="AO699" s="113"/>
      <c r="AP699" s="113"/>
      <c r="AQ699" s="113"/>
      <c r="AR699" s="113"/>
      <c r="AS699" s="113"/>
      <c r="AT699" s="113"/>
      <c r="AU699" s="113"/>
      <c r="AV699" s="113"/>
      <c r="AW699" s="113"/>
      <c r="AX699" s="113"/>
      <c r="AY699" s="113"/>
      <c r="AZ699" s="113"/>
      <c r="BA699" s="113"/>
      <c r="BB699" s="113"/>
      <c r="BC699" s="113"/>
      <c r="BD699" s="113"/>
      <c r="BE699" s="113"/>
      <c r="BF699" s="113"/>
      <c r="BG699" s="113"/>
      <c r="BH699" s="113"/>
      <c r="BI699" s="113"/>
      <c r="BJ699" s="113"/>
      <c r="BK699" s="113"/>
      <c r="BL699" s="113"/>
      <c r="BM699" s="113"/>
      <c r="BN699" s="113"/>
      <c r="BO699" s="113"/>
      <c r="BP699" s="113"/>
      <c r="BQ699" s="113"/>
      <c r="BR699" s="113"/>
      <c r="BS699" s="113"/>
      <c r="BT699" s="113"/>
      <c r="BU699" s="113"/>
      <c r="BV699" s="113"/>
      <c r="BW699" s="113"/>
      <c r="BX699" s="113"/>
      <c r="BY699" s="113"/>
      <c r="BZ699" s="113"/>
      <c r="CA699" s="113"/>
      <c r="CB699" s="113"/>
      <c r="CC699" s="113"/>
      <c r="CD699" s="113"/>
      <c r="CE699" s="113"/>
      <c r="CF699" s="113"/>
      <c r="CG699" s="113"/>
      <c r="CH699" s="113"/>
      <c r="CI699" s="113"/>
      <c r="CJ699" s="113"/>
      <c r="CK699" s="113"/>
    </row>
    <row r="700" spans="1:89" s="112" customFormat="1">
      <c r="A700" s="162"/>
      <c r="B700" s="129">
        <v>691</v>
      </c>
      <c r="C700" s="106" t="s">
        <v>110</v>
      </c>
      <c r="D700" s="124" t="s">
        <v>47</v>
      </c>
      <c r="E700" s="210">
        <v>382</v>
      </c>
      <c r="F700" s="205">
        <v>60</v>
      </c>
      <c r="G700" s="205"/>
      <c r="H700" s="205">
        <v>1.59</v>
      </c>
      <c r="I700" s="205">
        <f t="shared" si="163"/>
        <v>4.7699999999999999E-2</v>
      </c>
      <c r="J700" s="147">
        <f t="shared" si="168"/>
        <v>0</v>
      </c>
      <c r="K700" s="147">
        <f t="shared" si="169"/>
        <v>95.4</v>
      </c>
      <c r="L700" s="147">
        <f t="shared" si="170"/>
        <v>2.8620000000000001</v>
      </c>
      <c r="M700" s="147">
        <f t="shared" si="171"/>
        <v>98.262</v>
      </c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  <c r="AA700" s="113"/>
      <c r="AB700" s="113"/>
      <c r="AC700" s="113"/>
      <c r="AD700" s="113"/>
      <c r="AE700" s="113"/>
      <c r="AF700" s="113"/>
      <c r="AG700" s="113"/>
      <c r="AH700" s="113"/>
      <c r="AI700" s="113"/>
      <c r="AJ700" s="113"/>
      <c r="AK700" s="113"/>
      <c r="AL700" s="113"/>
      <c r="AM700" s="113"/>
      <c r="AN700" s="113"/>
      <c r="AO700" s="113"/>
      <c r="AP700" s="113"/>
      <c r="AQ700" s="113"/>
      <c r="AR700" s="113"/>
      <c r="AS700" s="113"/>
      <c r="AT700" s="113"/>
      <c r="AU700" s="113"/>
      <c r="AV700" s="113"/>
      <c r="AW700" s="113"/>
      <c r="AX700" s="113"/>
      <c r="AY700" s="113"/>
      <c r="AZ700" s="113"/>
      <c r="BA700" s="113"/>
      <c r="BB700" s="113"/>
      <c r="BC700" s="113"/>
      <c r="BD700" s="113"/>
      <c r="BE700" s="113"/>
      <c r="BF700" s="113"/>
      <c r="BG700" s="113"/>
      <c r="BH700" s="113"/>
      <c r="BI700" s="113"/>
      <c r="BJ700" s="113"/>
      <c r="BK700" s="113"/>
      <c r="BL700" s="113"/>
      <c r="BM700" s="113"/>
      <c r="BN700" s="113"/>
      <c r="BO700" s="113"/>
      <c r="BP700" s="113"/>
      <c r="BQ700" s="113"/>
      <c r="BR700" s="113"/>
      <c r="BS700" s="113"/>
      <c r="BT700" s="113"/>
      <c r="BU700" s="113"/>
      <c r="BV700" s="113"/>
      <c r="BW700" s="113"/>
      <c r="BX700" s="113"/>
      <c r="BY700" s="113"/>
      <c r="BZ700" s="113"/>
      <c r="CA700" s="113"/>
      <c r="CB700" s="113"/>
      <c r="CC700" s="113"/>
      <c r="CD700" s="113"/>
      <c r="CE700" s="113"/>
      <c r="CF700" s="113"/>
      <c r="CG700" s="113"/>
      <c r="CH700" s="113"/>
      <c r="CI700" s="113"/>
      <c r="CJ700" s="113"/>
      <c r="CK700" s="113"/>
    </row>
    <row r="701" spans="1:89">
      <c r="B701" s="129">
        <v>692</v>
      </c>
      <c r="C701" s="109" t="s">
        <v>405</v>
      </c>
      <c r="D701" s="123" t="s">
        <v>6</v>
      </c>
      <c r="E701" s="129"/>
      <c r="F701" s="147"/>
      <c r="G701" s="147">
        <v>10.4</v>
      </c>
      <c r="H701" s="147"/>
      <c r="I701" s="205">
        <f t="shared" si="163"/>
        <v>1.04</v>
      </c>
      <c r="J701" s="147">
        <f t="shared" si="168"/>
        <v>0</v>
      </c>
      <c r="K701" s="147">
        <f t="shared" si="169"/>
        <v>0</v>
      </c>
      <c r="L701" s="147">
        <f t="shared" si="170"/>
        <v>0</v>
      </c>
      <c r="M701" s="147">
        <f t="shared" si="171"/>
        <v>0</v>
      </c>
      <c r="CD701" s="104"/>
      <c r="CE701" s="104"/>
      <c r="CF701" s="104"/>
      <c r="CG701" s="104"/>
      <c r="CH701" s="104"/>
      <c r="CI701" s="104"/>
      <c r="CJ701" s="104"/>
      <c r="CK701" s="104"/>
    </row>
    <row r="702" spans="1:89" s="112" customFormat="1">
      <c r="A702" s="162"/>
      <c r="B702" s="129">
        <v>693</v>
      </c>
      <c r="C702" s="106" t="s">
        <v>116</v>
      </c>
      <c r="D702" s="124" t="s">
        <v>6</v>
      </c>
      <c r="E702" s="210">
        <v>160</v>
      </c>
      <c r="F702" s="205">
        <v>3.1</v>
      </c>
      <c r="G702" s="205"/>
      <c r="H702" s="205">
        <v>11.8</v>
      </c>
      <c r="I702" s="205">
        <f t="shared" si="163"/>
        <v>0.35399999999999998</v>
      </c>
      <c r="J702" s="147">
        <f t="shared" si="168"/>
        <v>0</v>
      </c>
      <c r="K702" s="147">
        <f t="shared" si="169"/>
        <v>36.580000000000005</v>
      </c>
      <c r="L702" s="147">
        <f t="shared" si="170"/>
        <v>1.0973999999999999</v>
      </c>
      <c r="M702" s="147">
        <f t="shared" si="171"/>
        <v>37.677400000000006</v>
      </c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  <c r="AA702" s="113"/>
      <c r="AB702" s="113"/>
      <c r="AC702" s="113"/>
      <c r="AD702" s="113"/>
      <c r="AE702" s="113"/>
      <c r="AF702" s="113"/>
      <c r="AG702" s="113"/>
      <c r="AH702" s="113"/>
      <c r="AI702" s="113"/>
      <c r="AJ702" s="113"/>
      <c r="AK702" s="113"/>
      <c r="AL702" s="113"/>
      <c r="AM702" s="113"/>
      <c r="AN702" s="113"/>
      <c r="AO702" s="113"/>
      <c r="AP702" s="113"/>
      <c r="AQ702" s="113"/>
      <c r="AR702" s="113"/>
      <c r="AS702" s="113"/>
      <c r="AT702" s="113"/>
      <c r="AU702" s="113"/>
      <c r="AV702" s="113"/>
      <c r="AW702" s="113"/>
      <c r="AX702" s="113"/>
      <c r="AY702" s="113"/>
      <c r="AZ702" s="113"/>
      <c r="BA702" s="113"/>
      <c r="BB702" s="113"/>
      <c r="BC702" s="113"/>
      <c r="BD702" s="113"/>
      <c r="BE702" s="113"/>
      <c r="BF702" s="113"/>
      <c r="BG702" s="113"/>
      <c r="BH702" s="113"/>
      <c r="BI702" s="113"/>
      <c r="BJ702" s="113"/>
      <c r="BK702" s="113"/>
      <c r="BL702" s="113"/>
      <c r="BM702" s="113"/>
      <c r="BN702" s="113"/>
      <c r="BO702" s="113"/>
      <c r="BP702" s="113"/>
      <c r="BQ702" s="113"/>
      <c r="BR702" s="113"/>
      <c r="BS702" s="113"/>
      <c r="BT702" s="113"/>
      <c r="BU702" s="113"/>
      <c r="BV702" s="113"/>
      <c r="BW702" s="113"/>
      <c r="BX702" s="113"/>
      <c r="BY702" s="113"/>
      <c r="BZ702" s="113"/>
      <c r="CA702" s="113"/>
      <c r="CB702" s="113"/>
      <c r="CC702" s="113"/>
      <c r="CD702" s="113"/>
      <c r="CE702" s="113"/>
      <c r="CF702" s="113"/>
      <c r="CG702" s="113"/>
      <c r="CH702" s="113"/>
      <c r="CI702" s="113"/>
      <c r="CJ702" s="113"/>
      <c r="CK702" s="113"/>
    </row>
    <row r="703" spans="1:89" s="112" customFormat="1">
      <c r="A703" s="162"/>
      <c r="B703" s="129">
        <v>694</v>
      </c>
      <c r="C703" s="106" t="s">
        <v>117</v>
      </c>
      <c r="D703" s="124" t="s">
        <v>47</v>
      </c>
      <c r="E703" s="210"/>
      <c r="F703" s="205">
        <f>F702/2</f>
        <v>1.55</v>
      </c>
      <c r="G703" s="205"/>
      <c r="H703" s="205">
        <v>0.33</v>
      </c>
      <c r="I703" s="205">
        <f t="shared" si="163"/>
        <v>9.9000000000000008E-3</v>
      </c>
      <c r="J703" s="147">
        <f t="shared" si="168"/>
        <v>0</v>
      </c>
      <c r="K703" s="147">
        <f t="shared" si="169"/>
        <v>0.51150000000000007</v>
      </c>
      <c r="L703" s="147">
        <f t="shared" si="170"/>
        <v>1.5345000000000001E-2</v>
      </c>
      <c r="M703" s="147">
        <f t="shared" si="171"/>
        <v>0.52684500000000012</v>
      </c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  <c r="AA703" s="113"/>
      <c r="AB703" s="113"/>
      <c r="AC703" s="113"/>
      <c r="AD703" s="113"/>
      <c r="AE703" s="113"/>
      <c r="AF703" s="113"/>
      <c r="AG703" s="113"/>
      <c r="AH703" s="113"/>
      <c r="AI703" s="113"/>
      <c r="AJ703" s="113"/>
      <c r="AK703" s="113"/>
      <c r="AL703" s="113"/>
      <c r="AM703" s="113"/>
      <c r="AN703" s="113"/>
      <c r="AO703" s="113"/>
      <c r="AP703" s="113"/>
      <c r="AQ703" s="113"/>
      <c r="AR703" s="113"/>
      <c r="AS703" s="113"/>
      <c r="AT703" s="113"/>
      <c r="AU703" s="113"/>
      <c r="AV703" s="113"/>
      <c r="AW703" s="113"/>
      <c r="AX703" s="113"/>
      <c r="AY703" s="113"/>
      <c r="AZ703" s="113"/>
      <c r="BA703" s="113"/>
      <c r="BB703" s="113"/>
      <c r="BC703" s="113"/>
      <c r="BD703" s="113"/>
      <c r="BE703" s="113"/>
      <c r="BF703" s="113"/>
      <c r="BG703" s="113"/>
      <c r="BH703" s="113"/>
      <c r="BI703" s="113"/>
      <c r="BJ703" s="113"/>
      <c r="BK703" s="113"/>
      <c r="BL703" s="113"/>
      <c r="BM703" s="113"/>
      <c r="BN703" s="113"/>
      <c r="BO703" s="113"/>
      <c r="BP703" s="113"/>
      <c r="BQ703" s="113"/>
      <c r="BR703" s="113"/>
      <c r="BS703" s="113"/>
      <c r="BT703" s="113"/>
      <c r="BU703" s="113"/>
      <c r="BV703" s="113"/>
      <c r="BW703" s="113"/>
      <c r="BX703" s="113"/>
      <c r="BY703" s="113"/>
      <c r="BZ703" s="113"/>
      <c r="CA703" s="113"/>
      <c r="CB703" s="113"/>
      <c r="CC703" s="113"/>
      <c r="CD703" s="113"/>
      <c r="CE703" s="113"/>
      <c r="CF703" s="113"/>
      <c r="CG703" s="113"/>
      <c r="CH703" s="113"/>
      <c r="CI703" s="113"/>
      <c r="CJ703" s="113"/>
      <c r="CK703" s="113"/>
    </row>
    <row r="704" spans="1:89" s="112" customFormat="1">
      <c r="A704" s="162"/>
      <c r="B704" s="129">
        <v>695</v>
      </c>
      <c r="C704" s="106" t="s">
        <v>118</v>
      </c>
      <c r="D704" s="124" t="s">
        <v>47</v>
      </c>
      <c r="E704" s="210"/>
      <c r="F704" s="205">
        <v>0.31</v>
      </c>
      <c r="G704" s="205"/>
      <c r="H704" s="205">
        <v>0.55000000000000004</v>
      </c>
      <c r="I704" s="205">
        <f t="shared" si="163"/>
        <v>1.6500000000000001E-2</v>
      </c>
      <c r="J704" s="147">
        <f t="shared" si="168"/>
        <v>0</v>
      </c>
      <c r="K704" s="147">
        <f t="shared" si="169"/>
        <v>0.17050000000000001</v>
      </c>
      <c r="L704" s="147">
        <f t="shared" si="170"/>
        <v>5.1150000000000006E-3</v>
      </c>
      <c r="M704" s="147">
        <f t="shared" si="171"/>
        <v>0.17561500000000002</v>
      </c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  <c r="AA704" s="113"/>
      <c r="AB704" s="113"/>
      <c r="AC704" s="113"/>
      <c r="AD704" s="113"/>
      <c r="AE704" s="113"/>
      <c r="AF704" s="113"/>
      <c r="AG704" s="113"/>
      <c r="AH704" s="113"/>
      <c r="AI704" s="113"/>
      <c r="AJ704" s="113"/>
      <c r="AK704" s="113"/>
      <c r="AL704" s="113"/>
      <c r="AM704" s="113"/>
      <c r="AN704" s="113"/>
      <c r="AO704" s="113"/>
      <c r="AP704" s="113"/>
      <c r="AQ704" s="113"/>
      <c r="AR704" s="113"/>
      <c r="AS704" s="113"/>
      <c r="AT704" s="113"/>
      <c r="AU704" s="113"/>
      <c r="AV704" s="113"/>
      <c r="AW704" s="113"/>
      <c r="AX704" s="113"/>
      <c r="AY704" s="113"/>
      <c r="AZ704" s="113"/>
      <c r="BA704" s="113"/>
      <c r="BB704" s="113"/>
      <c r="BC704" s="113"/>
      <c r="BD704" s="113"/>
      <c r="BE704" s="113"/>
      <c r="BF704" s="113"/>
      <c r="BG704" s="113"/>
      <c r="BH704" s="113"/>
      <c r="BI704" s="113"/>
      <c r="BJ704" s="113"/>
      <c r="BK704" s="113"/>
      <c r="BL704" s="113"/>
      <c r="BM704" s="113"/>
      <c r="BN704" s="113"/>
      <c r="BO704" s="113"/>
      <c r="BP704" s="113"/>
      <c r="BQ704" s="113"/>
      <c r="BR704" s="113"/>
      <c r="BS704" s="113"/>
      <c r="BT704" s="113"/>
      <c r="BU704" s="113"/>
      <c r="BV704" s="113"/>
      <c r="BW704" s="113"/>
      <c r="BX704" s="113"/>
      <c r="BY704" s="113"/>
      <c r="BZ704" s="113"/>
      <c r="CA704" s="113"/>
      <c r="CB704" s="113"/>
      <c r="CC704" s="113"/>
      <c r="CD704" s="113"/>
      <c r="CE704" s="113"/>
      <c r="CF704" s="113"/>
      <c r="CG704" s="113"/>
      <c r="CH704" s="113"/>
      <c r="CI704" s="113"/>
      <c r="CJ704" s="113"/>
      <c r="CK704" s="113"/>
    </row>
    <row r="705" spans="1:89" s="112" customFormat="1">
      <c r="A705" s="162"/>
      <c r="B705" s="129">
        <v>696</v>
      </c>
      <c r="C705" s="106" t="s">
        <v>119</v>
      </c>
      <c r="D705" s="124" t="s">
        <v>47</v>
      </c>
      <c r="E705" s="210">
        <v>60</v>
      </c>
      <c r="F705" s="205">
        <f>0.25*F702</f>
        <v>0.77500000000000002</v>
      </c>
      <c r="G705" s="205"/>
      <c r="H705" s="205">
        <v>4.8</v>
      </c>
      <c r="I705" s="205">
        <f t="shared" si="163"/>
        <v>0.14399999999999999</v>
      </c>
      <c r="J705" s="147">
        <f t="shared" si="168"/>
        <v>0</v>
      </c>
      <c r="K705" s="147">
        <f t="shared" si="169"/>
        <v>3.7199999999999998</v>
      </c>
      <c r="L705" s="147">
        <f t="shared" si="170"/>
        <v>0.11159999999999999</v>
      </c>
      <c r="M705" s="147">
        <f t="shared" si="171"/>
        <v>3.8315999999999999</v>
      </c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  <c r="AA705" s="113"/>
      <c r="AB705" s="113"/>
      <c r="AC705" s="113"/>
      <c r="AD705" s="113"/>
      <c r="AE705" s="113"/>
      <c r="AF705" s="113"/>
      <c r="AG705" s="113"/>
      <c r="AH705" s="113"/>
      <c r="AI705" s="113"/>
      <c r="AJ705" s="113"/>
      <c r="AK705" s="113"/>
      <c r="AL705" s="113"/>
      <c r="AM705" s="113"/>
      <c r="AN705" s="113"/>
      <c r="AO705" s="113"/>
      <c r="AP705" s="113"/>
      <c r="AQ705" s="113"/>
      <c r="AR705" s="113"/>
      <c r="AS705" s="113"/>
      <c r="AT705" s="113"/>
      <c r="AU705" s="113"/>
      <c r="AV705" s="113"/>
      <c r="AW705" s="113"/>
      <c r="AX705" s="113"/>
      <c r="AY705" s="113"/>
      <c r="AZ705" s="113"/>
      <c r="BA705" s="113"/>
      <c r="BB705" s="113"/>
      <c r="BC705" s="113"/>
      <c r="BD705" s="113"/>
      <c r="BE705" s="113"/>
      <c r="BF705" s="113"/>
      <c r="BG705" s="113"/>
      <c r="BH705" s="113"/>
      <c r="BI705" s="113"/>
      <c r="BJ705" s="113"/>
      <c r="BK705" s="113"/>
      <c r="BL705" s="113"/>
      <c r="BM705" s="113"/>
      <c r="BN705" s="113"/>
      <c r="BO705" s="113"/>
      <c r="BP705" s="113"/>
      <c r="BQ705" s="113"/>
      <c r="BR705" s="113"/>
      <c r="BS705" s="113"/>
      <c r="BT705" s="113"/>
      <c r="BU705" s="113"/>
      <c r="BV705" s="113"/>
      <c r="BW705" s="113"/>
      <c r="BX705" s="113"/>
      <c r="BY705" s="113"/>
      <c r="BZ705" s="113"/>
      <c r="CA705" s="113"/>
      <c r="CB705" s="113"/>
      <c r="CC705" s="113"/>
      <c r="CD705" s="113"/>
      <c r="CE705" s="113"/>
      <c r="CF705" s="113"/>
      <c r="CG705" s="113"/>
      <c r="CH705" s="113"/>
      <c r="CI705" s="113"/>
      <c r="CJ705" s="113"/>
      <c r="CK705" s="113"/>
    </row>
    <row r="706" spans="1:89">
      <c r="A706" s="160"/>
      <c r="B706" s="129">
        <v>697</v>
      </c>
      <c r="C706" s="109" t="s">
        <v>120</v>
      </c>
      <c r="D706" s="123" t="s">
        <v>114</v>
      </c>
      <c r="E706" s="204">
        <v>252</v>
      </c>
      <c r="F706" s="147"/>
      <c r="G706" s="147">
        <v>1.1000000000000001</v>
      </c>
      <c r="H706" s="147"/>
      <c r="I706" s="205">
        <f t="shared" si="163"/>
        <v>0.11000000000000001</v>
      </c>
      <c r="J706" s="147">
        <f t="shared" si="168"/>
        <v>0</v>
      </c>
      <c r="K706" s="147">
        <f t="shared" si="169"/>
        <v>0</v>
      </c>
      <c r="L706" s="147">
        <f t="shared" si="170"/>
        <v>0</v>
      </c>
      <c r="M706" s="147">
        <f t="shared" si="171"/>
        <v>0</v>
      </c>
      <c r="CD706" s="104"/>
      <c r="CE706" s="104"/>
      <c r="CF706" s="104"/>
      <c r="CG706" s="104"/>
      <c r="CH706" s="104"/>
      <c r="CI706" s="104"/>
      <c r="CJ706" s="104"/>
      <c r="CK706" s="104"/>
    </row>
    <row r="707" spans="1:89" s="112" customFormat="1">
      <c r="A707" s="162"/>
      <c r="B707" s="129">
        <v>698</v>
      </c>
      <c r="C707" s="106" t="s">
        <v>121</v>
      </c>
      <c r="D707" s="124" t="s">
        <v>114</v>
      </c>
      <c r="E707" s="210">
        <v>162</v>
      </c>
      <c r="F707" s="205">
        <f>20+11.2</f>
        <v>31.2</v>
      </c>
      <c r="G707" s="205"/>
      <c r="H707" s="205">
        <v>1.85</v>
      </c>
      <c r="I707" s="205">
        <f t="shared" si="163"/>
        <v>5.5500000000000001E-2</v>
      </c>
      <c r="J707" s="147">
        <f t="shared" si="168"/>
        <v>0</v>
      </c>
      <c r="K707" s="147">
        <f t="shared" si="169"/>
        <v>57.72</v>
      </c>
      <c r="L707" s="147">
        <f t="shared" si="170"/>
        <v>1.7316</v>
      </c>
      <c r="M707" s="147">
        <f t="shared" si="171"/>
        <v>59.451599999999999</v>
      </c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  <c r="AA707" s="113"/>
      <c r="AB707" s="113"/>
      <c r="AC707" s="113"/>
      <c r="AD707" s="113"/>
      <c r="AE707" s="113"/>
      <c r="AF707" s="113"/>
      <c r="AG707" s="113"/>
      <c r="AH707" s="113"/>
      <c r="AI707" s="113"/>
      <c r="AJ707" s="113"/>
      <c r="AK707" s="113"/>
      <c r="AL707" s="113"/>
      <c r="AM707" s="113"/>
      <c r="AN707" s="113"/>
      <c r="AO707" s="113"/>
      <c r="AP707" s="113"/>
      <c r="AQ707" s="113"/>
      <c r="AR707" s="113"/>
      <c r="AS707" s="113"/>
      <c r="AT707" s="113"/>
      <c r="AU707" s="113"/>
      <c r="AV707" s="113"/>
      <c r="AW707" s="113"/>
      <c r="AX707" s="113"/>
      <c r="AY707" s="113"/>
      <c r="AZ707" s="113"/>
      <c r="BA707" s="113"/>
      <c r="BB707" s="113"/>
      <c r="BC707" s="113"/>
      <c r="BD707" s="113"/>
      <c r="BE707" s="113"/>
      <c r="BF707" s="113"/>
      <c r="BG707" s="113"/>
      <c r="BH707" s="113"/>
      <c r="BI707" s="113"/>
      <c r="BJ707" s="113"/>
      <c r="BK707" s="113"/>
      <c r="BL707" s="113"/>
      <c r="BM707" s="113"/>
      <c r="BN707" s="113"/>
      <c r="BO707" s="113"/>
      <c r="BP707" s="113"/>
      <c r="BQ707" s="113"/>
      <c r="BR707" s="113"/>
      <c r="BS707" s="113"/>
      <c r="BT707" s="113"/>
      <c r="BU707" s="113"/>
      <c r="BV707" s="113"/>
      <c r="BW707" s="113"/>
      <c r="BX707" s="113"/>
      <c r="BY707" s="113"/>
      <c r="BZ707" s="113"/>
      <c r="CA707" s="113"/>
      <c r="CB707" s="113"/>
      <c r="CC707" s="113"/>
      <c r="CD707" s="113"/>
      <c r="CE707" s="113"/>
      <c r="CF707" s="113"/>
      <c r="CG707" s="113"/>
      <c r="CH707" s="113"/>
      <c r="CI707" s="113"/>
      <c r="CJ707" s="113"/>
      <c r="CK707" s="113"/>
    </row>
    <row r="708" spans="1:89" s="112" customFormat="1">
      <c r="A708" s="162"/>
      <c r="B708" s="129">
        <v>699</v>
      </c>
      <c r="C708" s="106" t="s">
        <v>122</v>
      </c>
      <c r="D708" s="124" t="s">
        <v>114</v>
      </c>
      <c r="E708" s="210">
        <v>90</v>
      </c>
      <c r="F708" s="205">
        <v>10</v>
      </c>
      <c r="G708" s="205"/>
      <c r="H708" s="205">
        <v>1.85</v>
      </c>
      <c r="I708" s="205">
        <f t="shared" si="163"/>
        <v>5.5500000000000001E-2</v>
      </c>
      <c r="J708" s="147">
        <f t="shared" si="168"/>
        <v>0</v>
      </c>
      <c r="K708" s="147">
        <f t="shared" si="169"/>
        <v>18.5</v>
      </c>
      <c r="L708" s="147">
        <f t="shared" si="170"/>
        <v>0.55500000000000005</v>
      </c>
      <c r="M708" s="147">
        <f t="shared" si="171"/>
        <v>19.055</v>
      </c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  <c r="AA708" s="113"/>
      <c r="AB708" s="113"/>
      <c r="AC708" s="113"/>
      <c r="AD708" s="113"/>
      <c r="AE708" s="113"/>
      <c r="AF708" s="113"/>
      <c r="AG708" s="113"/>
      <c r="AH708" s="113"/>
      <c r="AI708" s="113"/>
      <c r="AJ708" s="113"/>
      <c r="AK708" s="113"/>
      <c r="AL708" s="113"/>
      <c r="AM708" s="113"/>
      <c r="AN708" s="113"/>
      <c r="AO708" s="113"/>
      <c r="AP708" s="113"/>
      <c r="AQ708" s="113"/>
      <c r="AR708" s="113"/>
      <c r="AS708" s="113"/>
      <c r="AT708" s="113"/>
      <c r="AU708" s="113"/>
      <c r="AV708" s="113"/>
      <c r="AW708" s="113"/>
      <c r="AX708" s="113"/>
      <c r="AY708" s="113"/>
      <c r="AZ708" s="113"/>
      <c r="BA708" s="113"/>
      <c r="BB708" s="113"/>
      <c r="BC708" s="113"/>
      <c r="BD708" s="113"/>
      <c r="BE708" s="113"/>
      <c r="BF708" s="113"/>
      <c r="BG708" s="113"/>
      <c r="BH708" s="113"/>
      <c r="BI708" s="113"/>
      <c r="BJ708" s="113"/>
      <c r="BK708" s="113"/>
      <c r="BL708" s="113"/>
      <c r="BM708" s="113"/>
      <c r="BN708" s="113"/>
      <c r="BO708" s="113"/>
      <c r="BP708" s="113"/>
      <c r="BQ708" s="113"/>
      <c r="BR708" s="113"/>
      <c r="BS708" s="113"/>
      <c r="BT708" s="113"/>
      <c r="BU708" s="113"/>
      <c r="BV708" s="113"/>
      <c r="BW708" s="113"/>
      <c r="BX708" s="113"/>
      <c r="BY708" s="113"/>
      <c r="BZ708" s="113"/>
      <c r="CA708" s="113"/>
      <c r="CB708" s="113"/>
      <c r="CC708" s="113"/>
      <c r="CD708" s="113"/>
      <c r="CE708" s="113"/>
      <c r="CF708" s="113"/>
      <c r="CG708" s="113"/>
      <c r="CH708" s="113"/>
      <c r="CI708" s="113"/>
      <c r="CJ708" s="113"/>
      <c r="CK708" s="113"/>
    </row>
    <row r="709" spans="1:89" s="112" customFormat="1">
      <c r="A709" s="162"/>
      <c r="B709" s="129">
        <v>700</v>
      </c>
      <c r="C709" s="106" t="s">
        <v>39</v>
      </c>
      <c r="D709" s="124" t="s">
        <v>83</v>
      </c>
      <c r="E709" s="210">
        <v>252</v>
      </c>
      <c r="F709" s="205">
        <v>62</v>
      </c>
      <c r="G709" s="205"/>
      <c r="H709" s="205">
        <v>0.44</v>
      </c>
      <c r="I709" s="205">
        <f t="shared" si="163"/>
        <v>1.32E-2</v>
      </c>
      <c r="J709" s="147">
        <f t="shared" si="168"/>
        <v>0</v>
      </c>
      <c r="K709" s="147">
        <f t="shared" si="169"/>
        <v>27.28</v>
      </c>
      <c r="L709" s="147">
        <f t="shared" si="170"/>
        <v>0.81840000000000002</v>
      </c>
      <c r="M709" s="147">
        <f t="shared" si="171"/>
        <v>28.098400000000002</v>
      </c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  <c r="AA709" s="113"/>
      <c r="AB709" s="113"/>
      <c r="AC709" s="113"/>
      <c r="AD709" s="113"/>
      <c r="AE709" s="113"/>
      <c r="AF709" s="113"/>
      <c r="AG709" s="113"/>
      <c r="AH709" s="113"/>
      <c r="AI709" s="113"/>
      <c r="AJ709" s="113"/>
      <c r="AK709" s="113"/>
      <c r="AL709" s="113"/>
      <c r="AM709" s="113"/>
      <c r="AN709" s="113"/>
      <c r="AO709" s="113"/>
      <c r="AP709" s="113"/>
      <c r="AQ709" s="113"/>
      <c r="AR709" s="113"/>
      <c r="AS709" s="113"/>
      <c r="AT709" s="113"/>
      <c r="AU709" s="113"/>
      <c r="AV709" s="113"/>
      <c r="AW709" s="113"/>
      <c r="AX709" s="113"/>
      <c r="AY709" s="113"/>
      <c r="AZ709" s="113"/>
      <c r="BA709" s="113"/>
      <c r="BB709" s="113"/>
      <c r="BC709" s="113"/>
      <c r="BD709" s="113"/>
      <c r="BE709" s="113"/>
      <c r="BF709" s="113"/>
      <c r="BG709" s="113"/>
      <c r="BH709" s="113"/>
      <c r="BI709" s="113"/>
      <c r="BJ709" s="113"/>
      <c r="BK709" s="113"/>
      <c r="BL709" s="113"/>
      <c r="BM709" s="113"/>
      <c r="BN709" s="113"/>
      <c r="BO709" s="113"/>
      <c r="BP709" s="113"/>
      <c r="BQ709" s="113"/>
      <c r="BR709" s="113"/>
      <c r="BS709" s="113"/>
      <c r="BT709" s="113"/>
      <c r="BU709" s="113"/>
      <c r="BV709" s="113"/>
      <c r="BW709" s="113"/>
      <c r="BX709" s="113"/>
      <c r="BY709" s="113"/>
      <c r="BZ709" s="113"/>
      <c r="CA709" s="113"/>
      <c r="CB709" s="113"/>
      <c r="CC709" s="113"/>
      <c r="CD709" s="113"/>
      <c r="CE709" s="113"/>
      <c r="CF709" s="113"/>
      <c r="CG709" s="113"/>
      <c r="CH709" s="113"/>
      <c r="CI709" s="113"/>
      <c r="CJ709" s="113"/>
      <c r="CK709" s="113"/>
    </row>
    <row r="710" spans="1:89" s="112" customFormat="1">
      <c r="A710" s="162"/>
      <c r="B710" s="129">
        <v>701</v>
      </c>
      <c r="C710" s="106" t="s">
        <v>119</v>
      </c>
      <c r="D710" s="124" t="s">
        <v>47</v>
      </c>
      <c r="E710" s="210">
        <v>20</v>
      </c>
      <c r="F710" s="205">
        <f>0.25*41.2*0.07</f>
        <v>0.72100000000000009</v>
      </c>
      <c r="G710" s="205"/>
      <c r="H710" s="205">
        <v>4.87</v>
      </c>
      <c r="I710" s="205">
        <f t="shared" si="163"/>
        <v>0.14610000000000001</v>
      </c>
      <c r="J710" s="147">
        <f t="shared" si="168"/>
        <v>0</v>
      </c>
      <c r="K710" s="147">
        <f t="shared" si="169"/>
        <v>3.5112700000000006</v>
      </c>
      <c r="L710" s="147">
        <f t="shared" si="170"/>
        <v>0.10533810000000002</v>
      </c>
      <c r="M710" s="147">
        <f t="shared" si="171"/>
        <v>3.6166081000000005</v>
      </c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  <c r="AA710" s="113"/>
      <c r="AB710" s="113"/>
      <c r="AC710" s="113"/>
      <c r="AD710" s="113"/>
      <c r="AE710" s="113"/>
      <c r="AF710" s="113"/>
      <c r="AG710" s="113"/>
      <c r="AH710" s="113"/>
      <c r="AI710" s="113"/>
      <c r="AJ710" s="113"/>
      <c r="AK710" s="113"/>
      <c r="AL710" s="113"/>
      <c r="AM710" s="113"/>
      <c r="AN710" s="113"/>
      <c r="AO710" s="113"/>
      <c r="AP710" s="113"/>
      <c r="AQ710" s="113"/>
      <c r="AR710" s="113"/>
      <c r="AS710" s="113"/>
      <c r="AT710" s="113"/>
      <c r="AU710" s="113"/>
      <c r="AV710" s="113"/>
      <c r="AW710" s="113"/>
      <c r="AX710" s="113"/>
      <c r="AY710" s="113"/>
      <c r="AZ710" s="113"/>
      <c r="BA710" s="113"/>
      <c r="BB710" s="113"/>
      <c r="BC710" s="113"/>
      <c r="BD710" s="113"/>
      <c r="BE710" s="113"/>
      <c r="BF710" s="113"/>
      <c r="BG710" s="113"/>
      <c r="BH710" s="113"/>
      <c r="BI710" s="113"/>
      <c r="BJ710" s="113"/>
      <c r="BK710" s="113"/>
      <c r="BL710" s="113"/>
      <c r="BM710" s="113"/>
      <c r="BN710" s="113"/>
      <c r="BO710" s="113"/>
      <c r="BP710" s="113"/>
      <c r="BQ710" s="113"/>
      <c r="BR710" s="113"/>
      <c r="BS710" s="113"/>
      <c r="BT710" s="113"/>
      <c r="BU710" s="113"/>
      <c r="BV710" s="113"/>
      <c r="BW710" s="113"/>
      <c r="BX710" s="113"/>
      <c r="BY710" s="113"/>
      <c r="BZ710" s="113"/>
      <c r="CA710" s="113"/>
      <c r="CB710" s="113"/>
      <c r="CC710" s="113"/>
      <c r="CD710" s="113"/>
      <c r="CE710" s="113"/>
      <c r="CF710" s="113"/>
      <c r="CG710" s="113"/>
      <c r="CH710" s="113"/>
      <c r="CI710" s="113"/>
      <c r="CJ710" s="113"/>
      <c r="CK710" s="113"/>
    </row>
    <row r="711" spans="1:89" s="107" customFormat="1">
      <c r="A711" s="159"/>
      <c r="B711" s="129">
        <v>702</v>
      </c>
      <c r="C711" s="132" t="s">
        <v>123</v>
      </c>
      <c r="D711" s="122"/>
      <c r="E711" s="207"/>
      <c r="F711" s="208"/>
      <c r="G711" s="208"/>
      <c r="H711" s="208"/>
      <c r="I711" s="208"/>
      <c r="J711" s="147">
        <f t="shared" ref="J711:J719" si="172">F711*G711</f>
        <v>0</v>
      </c>
      <c r="K711" s="147">
        <f t="shared" ref="K711:K719" si="173">F711*H711</f>
        <v>0</v>
      </c>
      <c r="L711" s="147">
        <f t="shared" ref="L711:L719" si="174">F711*I711</f>
        <v>0</v>
      </c>
      <c r="M711" s="147">
        <f t="shared" ref="M711:M719" si="175">J711+K711+L711</f>
        <v>0</v>
      </c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  <c r="AD711" s="108"/>
      <c r="AE711" s="108"/>
      <c r="AF711" s="108"/>
      <c r="AG711" s="108"/>
      <c r="AH711" s="108"/>
      <c r="AI711" s="108"/>
      <c r="AJ711" s="108"/>
      <c r="AK711" s="108"/>
      <c r="AL711" s="108"/>
      <c r="AM711" s="108"/>
      <c r="AN711" s="108"/>
      <c r="AO711" s="108"/>
      <c r="AP711" s="108"/>
      <c r="AQ711" s="108"/>
      <c r="AR711" s="108"/>
      <c r="AS711" s="108"/>
      <c r="AT711" s="108"/>
      <c r="AU711" s="108"/>
      <c r="AV711" s="108"/>
      <c r="AW711" s="108"/>
      <c r="AX711" s="108"/>
      <c r="AY711" s="108"/>
      <c r="AZ711" s="108"/>
      <c r="BA711" s="108"/>
      <c r="BB711" s="108"/>
      <c r="BC711" s="108"/>
      <c r="BD711" s="108"/>
      <c r="BE711" s="108"/>
      <c r="BF711" s="108"/>
      <c r="BG711" s="108"/>
      <c r="BH711" s="108"/>
      <c r="BI711" s="108"/>
      <c r="BJ711" s="108"/>
      <c r="BK711" s="108"/>
      <c r="BL711" s="108"/>
      <c r="BM711" s="108"/>
      <c r="BN711" s="108"/>
      <c r="BO711" s="108"/>
      <c r="BP711" s="108"/>
      <c r="BQ711" s="108"/>
      <c r="BR711" s="108"/>
      <c r="BS711" s="108"/>
      <c r="BT711" s="108"/>
      <c r="BU711" s="108"/>
      <c r="BV711" s="108"/>
      <c r="BW711" s="108"/>
      <c r="BX711" s="108"/>
      <c r="BY711" s="108"/>
      <c r="BZ711" s="108"/>
      <c r="CA711" s="108"/>
      <c r="CB711" s="108"/>
      <c r="CC711" s="108"/>
      <c r="CD711" s="108"/>
      <c r="CE711" s="108"/>
      <c r="CF711" s="108"/>
      <c r="CG711" s="108"/>
      <c r="CH711" s="108"/>
      <c r="CI711" s="108"/>
      <c r="CJ711" s="108"/>
      <c r="CK711" s="108"/>
    </row>
    <row r="712" spans="1:89">
      <c r="A712" s="160"/>
      <c r="B712" s="129">
        <v>703</v>
      </c>
      <c r="C712" s="110" t="s">
        <v>173</v>
      </c>
      <c r="D712" s="123" t="s">
        <v>6</v>
      </c>
      <c r="E712" s="204">
        <v>200</v>
      </c>
      <c r="F712" s="147">
        <v>200</v>
      </c>
      <c r="G712" s="147">
        <v>2.75</v>
      </c>
      <c r="H712" s="147"/>
      <c r="I712" s="205">
        <f t="shared" ref="I712:I772" si="176">(G712*0.1)+(H712*0.03)</f>
        <v>0.27500000000000002</v>
      </c>
      <c r="J712" s="147">
        <f t="shared" si="172"/>
        <v>550</v>
      </c>
      <c r="K712" s="147">
        <f t="shared" si="173"/>
        <v>0</v>
      </c>
      <c r="L712" s="147">
        <f t="shared" si="174"/>
        <v>55.000000000000007</v>
      </c>
      <c r="M712" s="147">
        <f t="shared" si="175"/>
        <v>605</v>
      </c>
      <c r="CD712" s="104"/>
      <c r="CE712" s="104"/>
      <c r="CF712" s="104"/>
      <c r="CG712" s="104"/>
      <c r="CH712" s="104"/>
      <c r="CI712" s="104"/>
      <c r="CJ712" s="104"/>
      <c r="CK712" s="104"/>
    </row>
    <row r="713" spans="1:89" s="112" customFormat="1">
      <c r="A713" s="162"/>
      <c r="B713" s="129">
        <v>704</v>
      </c>
      <c r="C713" s="106" t="s">
        <v>236</v>
      </c>
      <c r="D713" s="124" t="s">
        <v>13</v>
      </c>
      <c r="E713" s="210">
        <v>6</v>
      </c>
      <c r="F713" s="205">
        <v>6</v>
      </c>
      <c r="G713" s="205"/>
      <c r="H713" s="205">
        <v>23</v>
      </c>
      <c r="I713" s="205">
        <f t="shared" si="176"/>
        <v>0.69</v>
      </c>
      <c r="J713" s="147">
        <f t="shared" si="172"/>
        <v>0</v>
      </c>
      <c r="K713" s="147">
        <f t="shared" si="173"/>
        <v>138</v>
      </c>
      <c r="L713" s="147">
        <f t="shared" si="174"/>
        <v>4.1399999999999997</v>
      </c>
      <c r="M713" s="147">
        <f t="shared" si="175"/>
        <v>142.13999999999999</v>
      </c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  <c r="AA713" s="113"/>
      <c r="AB713" s="113"/>
      <c r="AC713" s="113"/>
      <c r="AD713" s="113"/>
      <c r="AE713" s="113"/>
      <c r="AF713" s="113"/>
      <c r="AG713" s="113"/>
      <c r="AH713" s="113"/>
      <c r="AI713" s="113"/>
      <c r="AJ713" s="113"/>
      <c r="AK713" s="113"/>
      <c r="AL713" s="113"/>
      <c r="AM713" s="113"/>
      <c r="AN713" s="113"/>
      <c r="AO713" s="113"/>
      <c r="AP713" s="113"/>
      <c r="AQ713" s="113"/>
      <c r="AR713" s="113"/>
      <c r="AS713" s="113"/>
      <c r="AT713" s="113"/>
      <c r="AU713" s="113"/>
      <c r="AV713" s="113"/>
      <c r="AW713" s="113"/>
      <c r="AX713" s="113"/>
      <c r="AY713" s="113"/>
      <c r="AZ713" s="113"/>
      <c r="BA713" s="113"/>
      <c r="BB713" s="113"/>
      <c r="BC713" s="113"/>
      <c r="BD713" s="113"/>
      <c r="BE713" s="113"/>
      <c r="BF713" s="113"/>
      <c r="BG713" s="113"/>
      <c r="BH713" s="113"/>
      <c r="BI713" s="113"/>
      <c r="BJ713" s="113"/>
      <c r="BK713" s="113"/>
      <c r="BL713" s="113"/>
      <c r="BM713" s="113"/>
      <c r="BN713" s="113"/>
      <c r="BO713" s="113"/>
      <c r="BP713" s="113"/>
      <c r="BQ713" s="113"/>
      <c r="BR713" s="113"/>
      <c r="BS713" s="113"/>
      <c r="BT713" s="113"/>
      <c r="BU713" s="113"/>
      <c r="BV713" s="113"/>
      <c r="BW713" s="113"/>
      <c r="BX713" s="113"/>
      <c r="BY713" s="113"/>
      <c r="BZ713" s="113"/>
      <c r="CA713" s="113"/>
      <c r="CB713" s="113"/>
      <c r="CC713" s="113"/>
      <c r="CD713" s="113"/>
      <c r="CE713" s="113"/>
      <c r="CF713" s="113"/>
      <c r="CG713" s="113"/>
      <c r="CH713" s="113"/>
      <c r="CI713" s="113"/>
      <c r="CJ713" s="113"/>
      <c r="CK713" s="113"/>
    </row>
    <row r="714" spans="1:89" s="112" customFormat="1">
      <c r="A714" s="162"/>
      <c r="B714" s="129">
        <v>705</v>
      </c>
      <c r="C714" s="106" t="s">
        <v>92</v>
      </c>
      <c r="D714" s="124" t="s">
        <v>6</v>
      </c>
      <c r="E714" s="210">
        <v>200</v>
      </c>
      <c r="F714" s="205">
        <v>200</v>
      </c>
      <c r="G714" s="205"/>
      <c r="H714" s="205">
        <v>0.45</v>
      </c>
      <c r="I714" s="205">
        <f t="shared" si="176"/>
        <v>1.35E-2</v>
      </c>
      <c r="J714" s="147">
        <f t="shared" si="172"/>
        <v>0</v>
      </c>
      <c r="K714" s="147">
        <f t="shared" si="173"/>
        <v>90</v>
      </c>
      <c r="L714" s="147">
        <f t="shared" si="174"/>
        <v>2.7</v>
      </c>
      <c r="M714" s="147">
        <f t="shared" si="175"/>
        <v>92.7</v>
      </c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  <c r="AA714" s="113"/>
      <c r="AB714" s="113"/>
      <c r="AC714" s="113"/>
      <c r="AD714" s="113"/>
      <c r="AE714" s="113"/>
      <c r="AF714" s="113"/>
      <c r="AG714" s="113"/>
      <c r="AH714" s="113"/>
      <c r="AI714" s="113"/>
      <c r="AJ714" s="113"/>
      <c r="AK714" s="113"/>
      <c r="AL714" s="113"/>
      <c r="AM714" s="113"/>
      <c r="AN714" s="113"/>
      <c r="AO714" s="113"/>
      <c r="AP714" s="113"/>
      <c r="AQ714" s="113"/>
      <c r="AR714" s="113"/>
      <c r="AS714" s="113"/>
      <c r="AT714" s="113"/>
      <c r="AU714" s="113"/>
      <c r="AV714" s="113"/>
      <c r="AW714" s="113"/>
      <c r="AX714" s="113"/>
      <c r="AY714" s="113"/>
      <c r="AZ714" s="113"/>
      <c r="BA714" s="113"/>
      <c r="BB714" s="113"/>
      <c r="BC714" s="113"/>
      <c r="BD714" s="113"/>
      <c r="BE714" s="113"/>
      <c r="BF714" s="113"/>
      <c r="BG714" s="113"/>
      <c r="BH714" s="113"/>
      <c r="BI714" s="113"/>
      <c r="BJ714" s="113"/>
      <c r="BK714" s="113"/>
      <c r="BL714" s="113"/>
      <c r="BM714" s="113"/>
      <c r="BN714" s="113"/>
      <c r="BO714" s="113"/>
      <c r="BP714" s="113"/>
      <c r="BQ714" s="113"/>
      <c r="BR714" s="113"/>
      <c r="BS714" s="113"/>
      <c r="BT714" s="113"/>
      <c r="BU714" s="113"/>
      <c r="BV714" s="113"/>
      <c r="BW714" s="113"/>
      <c r="BX714" s="113"/>
      <c r="BY714" s="113"/>
      <c r="BZ714" s="113"/>
      <c r="CA714" s="113"/>
      <c r="CB714" s="113"/>
      <c r="CC714" s="113"/>
      <c r="CD714" s="113"/>
      <c r="CE714" s="113"/>
      <c r="CF714" s="113"/>
      <c r="CG714" s="113"/>
      <c r="CH714" s="113"/>
      <c r="CI714" s="113"/>
      <c r="CJ714" s="113"/>
      <c r="CK714" s="113"/>
    </row>
    <row r="715" spans="1:89" s="112" customFormat="1">
      <c r="A715" s="162"/>
      <c r="B715" s="129">
        <v>706</v>
      </c>
      <c r="C715" s="106" t="s">
        <v>124</v>
      </c>
      <c r="D715" s="124" t="s">
        <v>47</v>
      </c>
      <c r="E715" s="210">
        <v>400</v>
      </c>
      <c r="F715" s="205">
        <v>400</v>
      </c>
      <c r="G715" s="205"/>
      <c r="H715" s="205">
        <v>0.28000000000000003</v>
      </c>
      <c r="I715" s="205">
        <f t="shared" si="176"/>
        <v>8.4000000000000012E-3</v>
      </c>
      <c r="J715" s="147">
        <f t="shared" si="172"/>
        <v>0</v>
      </c>
      <c r="K715" s="147">
        <f t="shared" si="173"/>
        <v>112.00000000000001</v>
      </c>
      <c r="L715" s="147">
        <f t="shared" si="174"/>
        <v>3.3600000000000003</v>
      </c>
      <c r="M715" s="147">
        <f t="shared" si="175"/>
        <v>115.36000000000001</v>
      </c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  <c r="AA715" s="113"/>
      <c r="AB715" s="113"/>
      <c r="AC715" s="113"/>
      <c r="AD715" s="113"/>
      <c r="AE715" s="113"/>
      <c r="AF715" s="113"/>
      <c r="AG715" s="113"/>
      <c r="AH715" s="113"/>
      <c r="AI715" s="113"/>
      <c r="AJ715" s="113"/>
      <c r="AK715" s="113"/>
      <c r="AL715" s="113"/>
      <c r="AM715" s="113"/>
      <c r="AN715" s="113"/>
      <c r="AO715" s="113"/>
      <c r="AP715" s="113"/>
      <c r="AQ715" s="113"/>
      <c r="AR715" s="113"/>
      <c r="AS715" s="113"/>
      <c r="AT715" s="113"/>
      <c r="AU715" s="113"/>
      <c r="AV715" s="113"/>
      <c r="AW715" s="113"/>
      <c r="AX715" s="113"/>
      <c r="AY715" s="113"/>
      <c r="AZ715" s="113"/>
      <c r="BA715" s="113"/>
      <c r="BB715" s="113"/>
      <c r="BC715" s="113"/>
      <c r="BD715" s="113"/>
      <c r="BE715" s="113"/>
      <c r="BF715" s="113"/>
      <c r="BG715" s="113"/>
      <c r="BH715" s="113"/>
      <c r="BI715" s="113"/>
      <c r="BJ715" s="113"/>
      <c r="BK715" s="113"/>
      <c r="BL715" s="113"/>
      <c r="BM715" s="113"/>
      <c r="BN715" s="113"/>
      <c r="BO715" s="113"/>
      <c r="BP715" s="113"/>
      <c r="BQ715" s="113"/>
      <c r="BR715" s="113"/>
      <c r="BS715" s="113"/>
      <c r="BT715" s="113"/>
      <c r="BU715" s="113"/>
      <c r="BV715" s="113"/>
      <c r="BW715" s="113"/>
      <c r="BX715" s="113"/>
      <c r="BY715" s="113"/>
      <c r="BZ715" s="113"/>
      <c r="CA715" s="113"/>
      <c r="CB715" s="113"/>
      <c r="CC715" s="113"/>
      <c r="CD715" s="113"/>
      <c r="CE715" s="113"/>
      <c r="CF715" s="113"/>
      <c r="CG715" s="113"/>
      <c r="CH715" s="113"/>
      <c r="CI715" s="113"/>
      <c r="CJ715" s="113"/>
      <c r="CK715" s="113"/>
    </row>
    <row r="716" spans="1:89" s="112" customFormat="1">
      <c r="A716" s="162"/>
      <c r="B716" s="129">
        <v>707</v>
      </c>
      <c r="C716" s="106" t="s">
        <v>196</v>
      </c>
      <c r="D716" s="124" t="s">
        <v>83</v>
      </c>
      <c r="E716" s="210">
        <v>900</v>
      </c>
      <c r="F716" s="205">
        <v>900</v>
      </c>
      <c r="G716" s="205"/>
      <c r="H716" s="205">
        <v>0.22</v>
      </c>
      <c r="I716" s="205">
        <f t="shared" si="176"/>
        <v>6.6E-3</v>
      </c>
      <c r="J716" s="147">
        <f t="shared" si="172"/>
        <v>0</v>
      </c>
      <c r="K716" s="147">
        <f t="shared" si="173"/>
        <v>198</v>
      </c>
      <c r="L716" s="147">
        <f t="shared" si="174"/>
        <v>5.94</v>
      </c>
      <c r="M716" s="147">
        <f t="shared" si="175"/>
        <v>203.94</v>
      </c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  <c r="AA716" s="113"/>
      <c r="AB716" s="113"/>
      <c r="AC716" s="113"/>
      <c r="AD716" s="113"/>
      <c r="AE716" s="113"/>
      <c r="AF716" s="113"/>
      <c r="AG716" s="113"/>
      <c r="AH716" s="113"/>
      <c r="AI716" s="113"/>
      <c r="AJ716" s="113"/>
      <c r="AK716" s="113"/>
      <c r="AL716" s="113"/>
      <c r="AM716" s="113"/>
      <c r="AN716" s="113"/>
      <c r="AO716" s="113"/>
      <c r="AP716" s="113"/>
      <c r="AQ716" s="113"/>
      <c r="AR716" s="113"/>
      <c r="AS716" s="113"/>
      <c r="AT716" s="113"/>
      <c r="AU716" s="113"/>
      <c r="AV716" s="113"/>
      <c r="AW716" s="113"/>
      <c r="AX716" s="113"/>
      <c r="AY716" s="113"/>
      <c r="AZ716" s="113"/>
      <c r="BA716" s="113"/>
      <c r="BB716" s="113"/>
      <c r="BC716" s="113"/>
      <c r="BD716" s="113"/>
      <c r="BE716" s="113"/>
      <c r="BF716" s="113"/>
      <c r="BG716" s="113"/>
      <c r="BH716" s="113"/>
      <c r="BI716" s="113"/>
      <c r="BJ716" s="113"/>
      <c r="BK716" s="113"/>
      <c r="BL716" s="113"/>
      <c r="BM716" s="113"/>
      <c r="BN716" s="113"/>
      <c r="BO716" s="113"/>
      <c r="BP716" s="113"/>
      <c r="BQ716" s="113"/>
      <c r="BR716" s="113"/>
      <c r="BS716" s="113"/>
      <c r="BT716" s="113"/>
      <c r="BU716" s="113"/>
      <c r="BV716" s="113"/>
      <c r="BW716" s="113"/>
      <c r="BX716" s="113"/>
      <c r="BY716" s="113"/>
      <c r="BZ716" s="113"/>
      <c r="CA716" s="113"/>
      <c r="CB716" s="113"/>
      <c r="CC716" s="113"/>
      <c r="CD716" s="113"/>
      <c r="CE716" s="113"/>
      <c r="CF716" s="113"/>
      <c r="CG716" s="113"/>
      <c r="CH716" s="113"/>
      <c r="CI716" s="113"/>
      <c r="CJ716" s="113"/>
      <c r="CK716" s="113"/>
    </row>
    <row r="717" spans="1:89">
      <c r="A717" s="160"/>
      <c r="B717" s="129">
        <v>708</v>
      </c>
      <c r="C717" s="110" t="s">
        <v>125</v>
      </c>
      <c r="D717" s="123" t="s">
        <v>6</v>
      </c>
      <c r="E717" s="204">
        <v>200</v>
      </c>
      <c r="F717" s="147">
        <v>200</v>
      </c>
      <c r="G717" s="147">
        <v>2.8</v>
      </c>
      <c r="H717" s="147"/>
      <c r="I717" s="205">
        <f t="shared" si="176"/>
        <v>0.27999999999999997</v>
      </c>
      <c r="J717" s="147">
        <f t="shared" si="172"/>
        <v>560</v>
      </c>
      <c r="K717" s="147">
        <f t="shared" si="173"/>
        <v>0</v>
      </c>
      <c r="L717" s="147">
        <f t="shared" si="174"/>
        <v>55.999999999999993</v>
      </c>
      <c r="M717" s="147">
        <f t="shared" si="175"/>
        <v>616</v>
      </c>
      <c r="CD717" s="104"/>
      <c r="CE717" s="104"/>
      <c r="CF717" s="104"/>
      <c r="CG717" s="104"/>
      <c r="CH717" s="104"/>
      <c r="CI717" s="104"/>
      <c r="CJ717" s="104"/>
      <c r="CK717" s="104"/>
    </row>
    <row r="718" spans="1:89" s="112" customFormat="1">
      <c r="A718" s="162"/>
      <c r="B718" s="129">
        <v>709</v>
      </c>
      <c r="C718" s="106" t="s">
        <v>193</v>
      </c>
      <c r="D718" s="124" t="s">
        <v>47</v>
      </c>
      <c r="E718" s="210">
        <v>627</v>
      </c>
      <c r="F718" s="205">
        <v>627</v>
      </c>
      <c r="G718" s="205"/>
      <c r="H718" s="205">
        <v>0.42</v>
      </c>
      <c r="I718" s="205">
        <f t="shared" si="176"/>
        <v>1.2599999999999998E-2</v>
      </c>
      <c r="J718" s="147">
        <f t="shared" si="172"/>
        <v>0</v>
      </c>
      <c r="K718" s="147">
        <f t="shared" si="173"/>
        <v>263.33999999999997</v>
      </c>
      <c r="L718" s="147">
        <f t="shared" si="174"/>
        <v>7.900199999999999</v>
      </c>
      <c r="M718" s="147">
        <f t="shared" si="175"/>
        <v>271.24019999999996</v>
      </c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  <c r="AA718" s="113"/>
      <c r="AB718" s="113"/>
      <c r="AC718" s="113"/>
      <c r="AD718" s="113"/>
      <c r="AE718" s="113"/>
      <c r="AF718" s="113"/>
      <c r="AG718" s="113"/>
      <c r="AH718" s="113"/>
      <c r="AI718" s="113"/>
      <c r="AJ718" s="113"/>
      <c r="AK718" s="113"/>
      <c r="AL718" s="113"/>
      <c r="AM718" s="113"/>
      <c r="AN718" s="113"/>
      <c r="AO718" s="113"/>
      <c r="AP718" s="113"/>
      <c r="AQ718" s="113"/>
      <c r="AR718" s="113"/>
      <c r="AS718" s="113"/>
      <c r="AT718" s="113"/>
      <c r="AU718" s="113"/>
      <c r="AV718" s="113"/>
      <c r="AW718" s="113"/>
      <c r="AX718" s="113"/>
      <c r="AY718" s="113"/>
      <c r="AZ718" s="113"/>
      <c r="BA718" s="113"/>
      <c r="BB718" s="113"/>
      <c r="BC718" s="113"/>
      <c r="BD718" s="113"/>
      <c r="BE718" s="113"/>
      <c r="BF718" s="113"/>
      <c r="BG718" s="113"/>
      <c r="BH718" s="113"/>
      <c r="BI718" s="113"/>
      <c r="BJ718" s="113"/>
      <c r="BK718" s="113"/>
      <c r="BL718" s="113"/>
      <c r="BM718" s="113"/>
      <c r="BN718" s="113"/>
      <c r="BO718" s="113"/>
      <c r="BP718" s="113"/>
      <c r="BQ718" s="113"/>
      <c r="BR718" s="113"/>
      <c r="BS718" s="113"/>
      <c r="BT718" s="113"/>
      <c r="BU718" s="113"/>
      <c r="BV718" s="113"/>
      <c r="BW718" s="113"/>
      <c r="BX718" s="113"/>
      <c r="BY718" s="113"/>
      <c r="BZ718" s="113"/>
      <c r="CA718" s="113"/>
      <c r="CB718" s="113"/>
      <c r="CC718" s="113"/>
      <c r="CD718" s="113"/>
      <c r="CE718" s="113"/>
      <c r="CF718" s="113"/>
      <c r="CG718" s="113"/>
      <c r="CH718" s="113"/>
      <c r="CI718" s="113"/>
      <c r="CJ718" s="113"/>
      <c r="CK718" s="113"/>
    </row>
    <row r="719" spans="1:89" s="112" customFormat="1">
      <c r="A719" s="162"/>
      <c r="B719" s="129">
        <v>710</v>
      </c>
      <c r="C719" s="106" t="s">
        <v>194</v>
      </c>
      <c r="D719" s="124" t="s">
        <v>47</v>
      </c>
      <c r="E719" s="210">
        <v>130</v>
      </c>
      <c r="F719" s="205">
        <v>130</v>
      </c>
      <c r="G719" s="205"/>
      <c r="H719" s="205">
        <v>1.57</v>
      </c>
      <c r="I719" s="205">
        <f t="shared" si="176"/>
        <v>4.7100000000000003E-2</v>
      </c>
      <c r="J719" s="147">
        <f t="shared" si="172"/>
        <v>0</v>
      </c>
      <c r="K719" s="147">
        <f t="shared" si="173"/>
        <v>204.1</v>
      </c>
      <c r="L719" s="147">
        <f t="shared" si="174"/>
        <v>6.1230000000000002</v>
      </c>
      <c r="M719" s="147">
        <f t="shared" si="175"/>
        <v>210.22299999999998</v>
      </c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  <c r="AA719" s="113"/>
      <c r="AB719" s="113"/>
      <c r="AC719" s="113"/>
      <c r="AD719" s="113"/>
      <c r="AE719" s="113"/>
      <c r="AF719" s="113"/>
      <c r="AG719" s="113"/>
      <c r="AH719" s="113"/>
      <c r="AI719" s="113"/>
      <c r="AJ719" s="113"/>
      <c r="AK719" s="113"/>
      <c r="AL719" s="113"/>
      <c r="AM719" s="113"/>
      <c r="AN719" s="113"/>
      <c r="AO719" s="113"/>
      <c r="AP719" s="113"/>
      <c r="AQ719" s="113"/>
      <c r="AR719" s="113"/>
      <c r="AS719" s="113"/>
      <c r="AT719" s="113"/>
      <c r="AU719" s="113"/>
      <c r="AV719" s="113"/>
      <c r="AW719" s="113"/>
      <c r="AX719" s="113"/>
      <c r="AY719" s="113"/>
      <c r="AZ719" s="113"/>
      <c r="BA719" s="113"/>
      <c r="BB719" s="113"/>
      <c r="BC719" s="113"/>
      <c r="BD719" s="113"/>
      <c r="BE719" s="113"/>
      <c r="BF719" s="113"/>
      <c r="BG719" s="113"/>
      <c r="BH719" s="113"/>
      <c r="BI719" s="113"/>
      <c r="BJ719" s="113"/>
      <c r="BK719" s="113"/>
      <c r="BL719" s="113"/>
      <c r="BM719" s="113"/>
      <c r="BN719" s="113"/>
      <c r="BO719" s="113"/>
      <c r="BP719" s="113"/>
      <c r="BQ719" s="113"/>
      <c r="BR719" s="113"/>
      <c r="BS719" s="113"/>
      <c r="BT719" s="113"/>
      <c r="BU719" s="113"/>
      <c r="BV719" s="113"/>
      <c r="BW719" s="113"/>
      <c r="BX719" s="113"/>
      <c r="BY719" s="113"/>
      <c r="BZ719" s="113"/>
      <c r="CA719" s="113"/>
      <c r="CB719" s="113"/>
      <c r="CC719" s="113"/>
      <c r="CD719" s="113"/>
      <c r="CE719" s="113"/>
      <c r="CF719" s="113"/>
      <c r="CG719" s="113"/>
      <c r="CH719" s="113"/>
      <c r="CI719" s="113"/>
      <c r="CJ719" s="113"/>
      <c r="CK719" s="113"/>
    </row>
    <row r="720" spans="1:89" s="112" customFormat="1">
      <c r="A720" s="162"/>
      <c r="B720" s="129">
        <v>711</v>
      </c>
      <c r="C720" s="132" t="s">
        <v>456</v>
      </c>
      <c r="D720" s="124"/>
      <c r="E720" s="210"/>
      <c r="F720" s="205"/>
      <c r="G720" s="205"/>
      <c r="H720" s="205"/>
      <c r="I720" s="205"/>
      <c r="J720" s="147">
        <f t="shared" ref="J720:J730" si="177">F720*G720</f>
        <v>0</v>
      </c>
      <c r="K720" s="147">
        <f t="shared" ref="K720:K730" si="178">F720*H720</f>
        <v>0</v>
      </c>
      <c r="L720" s="147">
        <f t="shared" ref="L720:L730" si="179">F720*I720</f>
        <v>0</v>
      </c>
      <c r="M720" s="147">
        <f t="shared" ref="M720:M730" si="180">J720+K720+L720</f>
        <v>0</v>
      </c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  <c r="AA720" s="113"/>
      <c r="AB720" s="113"/>
      <c r="AC720" s="113"/>
      <c r="AD720" s="113"/>
      <c r="AE720" s="113"/>
      <c r="AF720" s="113"/>
      <c r="AG720" s="113"/>
      <c r="AH720" s="113"/>
      <c r="AI720" s="113"/>
      <c r="AJ720" s="113"/>
      <c r="AK720" s="113"/>
      <c r="AL720" s="113"/>
      <c r="AM720" s="113"/>
      <c r="AN720" s="113"/>
      <c r="AO720" s="113"/>
      <c r="AP720" s="113"/>
      <c r="AQ720" s="113"/>
      <c r="AR720" s="113"/>
      <c r="AS720" s="113"/>
      <c r="AT720" s="113"/>
      <c r="AU720" s="113"/>
      <c r="AV720" s="113"/>
      <c r="AW720" s="113"/>
      <c r="AX720" s="113"/>
      <c r="AY720" s="113"/>
      <c r="AZ720" s="113"/>
      <c r="BA720" s="113"/>
      <c r="BB720" s="113"/>
      <c r="BC720" s="113"/>
      <c r="BD720" s="113"/>
      <c r="BE720" s="113"/>
      <c r="BF720" s="113"/>
      <c r="BG720" s="113"/>
      <c r="BH720" s="113"/>
      <c r="BI720" s="113"/>
      <c r="BJ720" s="113"/>
      <c r="BK720" s="113"/>
      <c r="BL720" s="113"/>
      <c r="BM720" s="113"/>
      <c r="BN720" s="113"/>
      <c r="BO720" s="113"/>
      <c r="BP720" s="113"/>
      <c r="BQ720" s="113"/>
      <c r="BR720" s="113"/>
      <c r="BS720" s="113"/>
      <c r="BT720" s="113"/>
      <c r="BU720" s="113"/>
      <c r="BV720" s="113"/>
      <c r="BW720" s="113"/>
      <c r="BX720" s="113"/>
      <c r="BY720" s="113"/>
      <c r="BZ720" s="113"/>
      <c r="CA720" s="113"/>
      <c r="CB720" s="113"/>
      <c r="CC720" s="113"/>
      <c r="CD720" s="113"/>
      <c r="CE720" s="113"/>
      <c r="CF720" s="113"/>
      <c r="CG720" s="113"/>
      <c r="CH720" s="113"/>
      <c r="CI720" s="113"/>
      <c r="CJ720" s="113"/>
      <c r="CK720" s="113"/>
    </row>
    <row r="721" spans="1:89">
      <c r="A721" s="160"/>
      <c r="B721" s="129">
        <v>712</v>
      </c>
      <c r="C721" s="110" t="s">
        <v>56</v>
      </c>
      <c r="D721" s="123" t="s">
        <v>6</v>
      </c>
      <c r="E721" s="204">
        <v>34</v>
      </c>
      <c r="F721" s="147">
        <v>33.75</v>
      </c>
      <c r="G721" s="147">
        <v>5.4</v>
      </c>
      <c r="H721" s="147"/>
      <c r="I721" s="205">
        <f t="shared" si="176"/>
        <v>0.54</v>
      </c>
      <c r="J721" s="147">
        <f t="shared" si="177"/>
        <v>182.25</v>
      </c>
      <c r="K721" s="147">
        <f t="shared" si="178"/>
        <v>0</v>
      </c>
      <c r="L721" s="147">
        <f t="shared" si="179"/>
        <v>18.225000000000001</v>
      </c>
      <c r="M721" s="147">
        <f t="shared" si="180"/>
        <v>200.47499999999999</v>
      </c>
      <c r="CD721" s="104"/>
      <c r="CE721" s="104"/>
      <c r="CF721" s="104"/>
      <c r="CG721" s="104"/>
      <c r="CH721" s="104"/>
      <c r="CI721" s="104"/>
      <c r="CJ721" s="104"/>
      <c r="CK721" s="104"/>
    </row>
    <row r="722" spans="1:89" s="112" customFormat="1">
      <c r="A722" s="162"/>
      <c r="B722" s="129">
        <v>713</v>
      </c>
      <c r="C722" s="106" t="s">
        <v>57</v>
      </c>
      <c r="D722" s="124" t="s">
        <v>6</v>
      </c>
      <c r="E722" s="210">
        <v>36</v>
      </c>
      <c r="F722" s="205">
        <f>F721*1.05</f>
        <v>35.4375</v>
      </c>
      <c r="G722" s="205"/>
      <c r="H722" s="205">
        <v>6.5</v>
      </c>
      <c r="I722" s="205">
        <f t="shared" si="176"/>
        <v>0.19500000000000001</v>
      </c>
      <c r="J722" s="147">
        <f t="shared" si="177"/>
        <v>0</v>
      </c>
      <c r="K722" s="147">
        <f t="shared" si="178"/>
        <v>230.34375</v>
      </c>
      <c r="L722" s="147">
        <f t="shared" si="179"/>
        <v>6.9103124999999999</v>
      </c>
      <c r="M722" s="147">
        <f t="shared" si="180"/>
        <v>237.2540625</v>
      </c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  <c r="AA722" s="113"/>
      <c r="AB722" s="113"/>
      <c r="AC722" s="113"/>
      <c r="AD722" s="113"/>
      <c r="AE722" s="113"/>
      <c r="AF722" s="113"/>
      <c r="AG722" s="113"/>
      <c r="AH722" s="113"/>
      <c r="AI722" s="113"/>
      <c r="AJ722" s="113"/>
      <c r="AK722" s="113"/>
      <c r="AL722" s="113"/>
      <c r="AM722" s="113"/>
      <c r="AN722" s="113"/>
      <c r="AO722" s="113"/>
      <c r="AP722" s="113"/>
      <c r="AQ722" s="113"/>
      <c r="AR722" s="113"/>
      <c r="AS722" s="113"/>
      <c r="AT722" s="113"/>
      <c r="AU722" s="113"/>
      <c r="AV722" s="113"/>
      <c r="AW722" s="113"/>
      <c r="AX722" s="113"/>
      <c r="AY722" s="113"/>
      <c r="AZ722" s="113"/>
      <c r="BA722" s="113"/>
      <c r="BB722" s="113"/>
      <c r="BC722" s="113"/>
      <c r="BD722" s="113"/>
      <c r="BE722" s="113"/>
      <c r="BF722" s="113"/>
      <c r="BG722" s="113"/>
      <c r="BH722" s="113"/>
      <c r="BI722" s="113"/>
      <c r="BJ722" s="113"/>
      <c r="BK722" s="113"/>
      <c r="BL722" s="113"/>
      <c r="BM722" s="113"/>
      <c r="BN722" s="113"/>
      <c r="BO722" s="113"/>
      <c r="BP722" s="113"/>
      <c r="BQ722" s="113"/>
      <c r="BR722" s="113"/>
      <c r="BS722" s="113"/>
      <c r="BT722" s="113"/>
      <c r="BU722" s="113"/>
      <c r="BV722" s="113"/>
      <c r="BW722" s="113"/>
      <c r="BX722" s="113"/>
      <c r="BY722" s="113"/>
      <c r="BZ722" s="113"/>
      <c r="CA722" s="113"/>
      <c r="CB722" s="113"/>
      <c r="CC722" s="113"/>
      <c r="CD722" s="113"/>
      <c r="CE722" s="113"/>
      <c r="CF722" s="113"/>
      <c r="CG722" s="113"/>
      <c r="CH722" s="113"/>
      <c r="CI722" s="113"/>
      <c r="CJ722" s="113"/>
      <c r="CK722" s="113"/>
    </row>
    <row r="723" spans="1:89" s="112" customFormat="1">
      <c r="A723" s="162"/>
      <c r="B723" s="129">
        <v>714</v>
      </c>
      <c r="C723" s="106" t="s">
        <v>58</v>
      </c>
      <c r="D723" s="124" t="s">
        <v>47</v>
      </c>
      <c r="E723" s="210">
        <v>140</v>
      </c>
      <c r="F723" s="205">
        <f>4.5*F721</f>
        <v>151.875</v>
      </c>
      <c r="G723" s="205"/>
      <c r="H723" s="205">
        <v>0.23</v>
      </c>
      <c r="I723" s="205">
        <f t="shared" si="176"/>
        <v>6.8999999999999999E-3</v>
      </c>
      <c r="J723" s="147">
        <f t="shared" si="177"/>
        <v>0</v>
      </c>
      <c r="K723" s="147">
        <f t="shared" si="178"/>
        <v>34.931249999999999</v>
      </c>
      <c r="L723" s="147">
        <f t="shared" si="179"/>
        <v>1.0479375</v>
      </c>
      <c r="M723" s="147">
        <f t="shared" si="180"/>
        <v>35.979187500000002</v>
      </c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  <c r="AA723" s="113"/>
      <c r="AB723" s="113"/>
      <c r="AC723" s="113"/>
      <c r="AD723" s="113"/>
      <c r="AE723" s="113"/>
      <c r="AF723" s="113"/>
      <c r="AG723" s="113"/>
      <c r="AH723" s="113"/>
      <c r="AI723" s="113"/>
      <c r="AJ723" s="113"/>
      <c r="AK723" s="113"/>
      <c r="AL723" s="113"/>
      <c r="AM723" s="113"/>
      <c r="AN723" s="113"/>
      <c r="AO723" s="113"/>
      <c r="AP723" s="113"/>
      <c r="AQ723" s="113"/>
      <c r="AR723" s="113"/>
      <c r="AS723" s="113"/>
      <c r="AT723" s="113"/>
      <c r="AU723" s="113"/>
      <c r="AV723" s="113"/>
      <c r="AW723" s="113"/>
      <c r="AX723" s="113"/>
      <c r="AY723" s="113"/>
      <c r="AZ723" s="113"/>
      <c r="BA723" s="113"/>
      <c r="BB723" s="113"/>
      <c r="BC723" s="113"/>
      <c r="BD723" s="113"/>
      <c r="BE723" s="113"/>
      <c r="BF723" s="113"/>
      <c r="BG723" s="113"/>
      <c r="BH723" s="113"/>
      <c r="BI723" s="113"/>
      <c r="BJ723" s="113"/>
      <c r="BK723" s="113"/>
      <c r="BL723" s="113"/>
      <c r="BM723" s="113"/>
      <c r="BN723" s="113"/>
      <c r="BO723" s="113"/>
      <c r="BP723" s="113"/>
      <c r="BQ723" s="113"/>
      <c r="BR723" s="113"/>
      <c r="BS723" s="113"/>
      <c r="BT723" s="113"/>
      <c r="BU723" s="113"/>
      <c r="BV723" s="113"/>
      <c r="BW723" s="113"/>
      <c r="BX723" s="113"/>
      <c r="BY723" s="113"/>
      <c r="BZ723" s="113"/>
      <c r="CA723" s="113"/>
      <c r="CB723" s="113"/>
      <c r="CC723" s="113"/>
      <c r="CD723" s="113"/>
      <c r="CE723" s="113"/>
      <c r="CF723" s="113"/>
      <c r="CG723" s="113"/>
      <c r="CH723" s="113"/>
      <c r="CI723" s="113"/>
      <c r="CJ723" s="113"/>
      <c r="CK723" s="113"/>
    </row>
    <row r="724" spans="1:89" s="112" customFormat="1">
      <c r="A724" s="162"/>
      <c r="B724" s="129">
        <v>715</v>
      </c>
      <c r="C724" s="106" t="s">
        <v>59</v>
      </c>
      <c r="D724" s="124" t="s">
        <v>47</v>
      </c>
      <c r="E724" s="210">
        <v>68</v>
      </c>
      <c r="F724" s="205">
        <f>F721</f>
        <v>33.75</v>
      </c>
      <c r="G724" s="205"/>
      <c r="H724" s="205">
        <v>0.05</v>
      </c>
      <c r="I724" s="205">
        <f t="shared" si="176"/>
        <v>1.5E-3</v>
      </c>
      <c r="J724" s="147">
        <f t="shared" si="177"/>
        <v>0</v>
      </c>
      <c r="K724" s="147">
        <f t="shared" si="178"/>
        <v>1.6875</v>
      </c>
      <c r="L724" s="147">
        <f t="shared" si="179"/>
        <v>5.0625000000000003E-2</v>
      </c>
      <c r="M724" s="147">
        <f t="shared" si="180"/>
        <v>1.7381249999999999</v>
      </c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  <c r="AA724" s="113"/>
      <c r="AB724" s="113"/>
      <c r="AC724" s="113"/>
      <c r="AD724" s="113"/>
      <c r="AE724" s="113"/>
      <c r="AF724" s="113"/>
      <c r="AG724" s="113"/>
      <c r="AH724" s="113"/>
      <c r="AI724" s="113"/>
      <c r="AJ724" s="113"/>
      <c r="AK724" s="113"/>
      <c r="AL724" s="113"/>
      <c r="AM724" s="113"/>
      <c r="AN724" s="113"/>
      <c r="AO724" s="113"/>
      <c r="AP724" s="113"/>
      <c r="AQ724" s="113"/>
      <c r="AR724" s="113"/>
      <c r="AS724" s="113"/>
      <c r="AT724" s="113"/>
      <c r="AU724" s="113"/>
      <c r="AV724" s="113"/>
      <c r="AW724" s="113"/>
      <c r="AX724" s="113"/>
      <c r="AY724" s="113"/>
      <c r="AZ724" s="113"/>
      <c r="BA724" s="113"/>
      <c r="BB724" s="113"/>
      <c r="BC724" s="113"/>
      <c r="BD724" s="113"/>
      <c r="BE724" s="113"/>
      <c r="BF724" s="113"/>
      <c r="BG724" s="113"/>
      <c r="BH724" s="113"/>
      <c r="BI724" s="113"/>
      <c r="BJ724" s="113"/>
      <c r="BK724" s="113"/>
      <c r="BL724" s="113"/>
      <c r="BM724" s="113"/>
      <c r="BN724" s="113"/>
      <c r="BO724" s="113"/>
      <c r="BP724" s="113"/>
      <c r="BQ724" s="113"/>
      <c r="BR724" s="113"/>
      <c r="BS724" s="113"/>
      <c r="BT724" s="113"/>
      <c r="BU724" s="113"/>
      <c r="BV724" s="113"/>
      <c r="BW724" s="113"/>
      <c r="BX724" s="113"/>
      <c r="BY724" s="113"/>
      <c r="BZ724" s="113"/>
      <c r="CA724" s="113"/>
      <c r="CB724" s="113"/>
      <c r="CC724" s="113"/>
      <c r="CD724" s="113"/>
      <c r="CE724" s="113"/>
      <c r="CF724" s="113"/>
      <c r="CG724" s="113"/>
      <c r="CH724" s="113"/>
      <c r="CI724" s="113"/>
      <c r="CJ724" s="113"/>
      <c r="CK724" s="113"/>
    </row>
    <row r="725" spans="1:89">
      <c r="A725" s="160"/>
      <c r="B725" s="129">
        <v>716</v>
      </c>
      <c r="C725" s="110" t="s">
        <v>61</v>
      </c>
      <c r="D725" s="123" t="s">
        <v>114</v>
      </c>
      <c r="E725" s="204">
        <v>7.5</v>
      </c>
      <c r="F725" s="147">
        <v>7.5</v>
      </c>
      <c r="G725" s="147">
        <v>2.6</v>
      </c>
      <c r="H725" s="147"/>
      <c r="I725" s="205">
        <f t="shared" si="176"/>
        <v>0.26</v>
      </c>
      <c r="J725" s="147">
        <f t="shared" si="177"/>
        <v>19.5</v>
      </c>
      <c r="K725" s="147">
        <f t="shared" si="178"/>
        <v>0</v>
      </c>
      <c r="L725" s="147">
        <f t="shared" si="179"/>
        <v>1.9500000000000002</v>
      </c>
      <c r="M725" s="147">
        <f t="shared" si="180"/>
        <v>21.45</v>
      </c>
      <c r="CD725" s="104"/>
      <c r="CE725" s="104"/>
      <c r="CF725" s="104"/>
      <c r="CG725" s="104"/>
      <c r="CH725" s="104"/>
      <c r="CI725" s="104"/>
      <c r="CJ725" s="104"/>
      <c r="CK725" s="104"/>
    </row>
    <row r="726" spans="1:89" s="112" customFormat="1">
      <c r="A726" s="162"/>
      <c r="B726" s="129">
        <v>717</v>
      </c>
      <c r="C726" s="106" t="s">
        <v>27</v>
      </c>
      <c r="D726" s="124" t="s">
        <v>13</v>
      </c>
      <c r="E726" s="210">
        <v>0.2</v>
      </c>
      <c r="F726" s="205">
        <v>0.2</v>
      </c>
      <c r="G726" s="205"/>
      <c r="H726" s="205">
        <v>79</v>
      </c>
      <c r="I726" s="205">
        <f t="shared" si="176"/>
        <v>2.37</v>
      </c>
      <c r="J726" s="147">
        <f t="shared" si="177"/>
        <v>0</v>
      </c>
      <c r="K726" s="147">
        <f t="shared" si="178"/>
        <v>15.8</v>
      </c>
      <c r="L726" s="147">
        <f t="shared" si="179"/>
        <v>0.47400000000000003</v>
      </c>
      <c r="M726" s="147">
        <f t="shared" si="180"/>
        <v>16.274000000000001</v>
      </c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  <c r="AA726" s="113"/>
      <c r="AB726" s="113"/>
      <c r="AC726" s="113"/>
      <c r="AD726" s="113"/>
      <c r="AE726" s="113"/>
      <c r="AF726" s="113"/>
      <c r="AG726" s="113"/>
      <c r="AH726" s="113"/>
      <c r="AI726" s="113"/>
      <c r="AJ726" s="113"/>
      <c r="AK726" s="113"/>
      <c r="AL726" s="113"/>
      <c r="AM726" s="113"/>
      <c r="AN726" s="113"/>
      <c r="AO726" s="113"/>
      <c r="AP726" s="113"/>
      <c r="AQ726" s="113"/>
      <c r="AR726" s="113"/>
      <c r="AS726" s="113"/>
      <c r="AT726" s="113"/>
      <c r="AU726" s="113"/>
      <c r="AV726" s="113"/>
      <c r="AW726" s="113"/>
      <c r="AX726" s="113"/>
      <c r="AY726" s="113"/>
      <c r="AZ726" s="113"/>
      <c r="BA726" s="113"/>
      <c r="BB726" s="113"/>
      <c r="BC726" s="113"/>
      <c r="BD726" s="113"/>
      <c r="BE726" s="113"/>
      <c r="BF726" s="113"/>
      <c r="BG726" s="113"/>
      <c r="BH726" s="113"/>
      <c r="BI726" s="113"/>
      <c r="BJ726" s="113"/>
      <c r="BK726" s="113"/>
      <c r="BL726" s="113"/>
      <c r="BM726" s="113"/>
      <c r="BN726" s="113"/>
      <c r="BO726" s="113"/>
      <c r="BP726" s="113"/>
      <c r="BQ726" s="113"/>
      <c r="BR726" s="113"/>
      <c r="BS726" s="113"/>
      <c r="BT726" s="113"/>
      <c r="BU726" s="113"/>
      <c r="BV726" s="113"/>
      <c r="BW726" s="113"/>
      <c r="BX726" s="113"/>
      <c r="BY726" s="113"/>
      <c r="BZ726" s="113"/>
      <c r="CA726" s="113"/>
      <c r="CB726" s="113"/>
      <c r="CC726" s="113"/>
      <c r="CD726" s="113"/>
      <c r="CE726" s="113"/>
      <c r="CF726" s="113"/>
      <c r="CG726" s="113"/>
      <c r="CH726" s="113"/>
      <c r="CI726" s="113"/>
      <c r="CJ726" s="113"/>
      <c r="CK726" s="113"/>
    </row>
    <row r="727" spans="1:89" s="112" customFormat="1">
      <c r="A727" s="162"/>
      <c r="B727" s="129">
        <v>718</v>
      </c>
      <c r="C727" s="106" t="s">
        <v>36</v>
      </c>
      <c r="D727" s="124" t="s">
        <v>11</v>
      </c>
      <c r="E727" s="210">
        <v>8</v>
      </c>
      <c r="F727" s="205">
        <v>8</v>
      </c>
      <c r="G727" s="205"/>
      <c r="H727" s="205">
        <v>1.2</v>
      </c>
      <c r="I727" s="205">
        <f t="shared" si="176"/>
        <v>3.5999999999999997E-2</v>
      </c>
      <c r="J727" s="147">
        <f t="shared" si="177"/>
        <v>0</v>
      </c>
      <c r="K727" s="147">
        <f t="shared" si="178"/>
        <v>9.6</v>
      </c>
      <c r="L727" s="147">
        <f t="shared" si="179"/>
        <v>0.28799999999999998</v>
      </c>
      <c r="M727" s="147">
        <f t="shared" si="180"/>
        <v>9.8879999999999999</v>
      </c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  <c r="AA727" s="113"/>
      <c r="AB727" s="113"/>
      <c r="AC727" s="113"/>
      <c r="AD727" s="113"/>
      <c r="AE727" s="113"/>
      <c r="AF727" s="113"/>
      <c r="AG727" s="113"/>
      <c r="AH727" s="113"/>
      <c r="AI727" s="113"/>
      <c r="AJ727" s="113"/>
      <c r="AK727" s="113"/>
      <c r="AL727" s="113"/>
      <c r="AM727" s="113"/>
      <c r="AN727" s="113"/>
      <c r="AO727" s="113"/>
      <c r="AP727" s="113"/>
      <c r="AQ727" s="113"/>
      <c r="AR727" s="113"/>
      <c r="AS727" s="113"/>
      <c r="AT727" s="113"/>
      <c r="AU727" s="113"/>
      <c r="AV727" s="113"/>
      <c r="AW727" s="113"/>
      <c r="AX727" s="113"/>
      <c r="AY727" s="113"/>
      <c r="AZ727" s="113"/>
      <c r="BA727" s="113"/>
      <c r="BB727" s="113"/>
      <c r="BC727" s="113"/>
      <c r="BD727" s="113"/>
      <c r="BE727" s="113"/>
      <c r="BF727" s="113"/>
      <c r="BG727" s="113"/>
      <c r="BH727" s="113"/>
      <c r="BI727" s="113"/>
      <c r="BJ727" s="113"/>
      <c r="BK727" s="113"/>
      <c r="BL727" s="113"/>
      <c r="BM727" s="113"/>
      <c r="BN727" s="113"/>
      <c r="BO727" s="113"/>
      <c r="BP727" s="113"/>
      <c r="BQ727" s="113"/>
      <c r="BR727" s="113"/>
      <c r="BS727" s="113"/>
      <c r="BT727" s="113"/>
      <c r="BU727" s="113"/>
      <c r="BV727" s="113"/>
      <c r="BW727" s="113"/>
      <c r="BX727" s="113"/>
      <c r="BY727" s="113"/>
      <c r="BZ727" s="113"/>
      <c r="CA727" s="113"/>
      <c r="CB727" s="113"/>
      <c r="CC727" s="113"/>
      <c r="CD727" s="113"/>
      <c r="CE727" s="113"/>
      <c r="CF727" s="113"/>
      <c r="CG727" s="113"/>
      <c r="CH727" s="113"/>
      <c r="CI727" s="113"/>
      <c r="CJ727" s="113"/>
      <c r="CK727" s="113"/>
    </row>
    <row r="728" spans="1:89" s="112" customFormat="1">
      <c r="A728" s="162"/>
      <c r="B728" s="129">
        <v>719</v>
      </c>
      <c r="C728" s="106" t="s">
        <v>172</v>
      </c>
      <c r="D728" s="124" t="s">
        <v>114</v>
      </c>
      <c r="E728" s="210">
        <v>7.5</v>
      </c>
      <c r="F728" s="205">
        <v>7.5</v>
      </c>
      <c r="G728" s="205"/>
      <c r="H728" s="205">
        <v>28</v>
      </c>
      <c r="I728" s="205">
        <f t="shared" si="176"/>
        <v>0.84</v>
      </c>
      <c r="J728" s="147">
        <f t="shared" si="177"/>
        <v>0</v>
      </c>
      <c r="K728" s="147">
        <f t="shared" si="178"/>
        <v>210</v>
      </c>
      <c r="L728" s="147">
        <f t="shared" si="179"/>
        <v>6.3</v>
      </c>
      <c r="M728" s="147">
        <f t="shared" si="180"/>
        <v>216.3</v>
      </c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  <c r="AA728" s="113"/>
      <c r="AB728" s="113"/>
      <c r="AC728" s="113"/>
      <c r="AD728" s="113"/>
      <c r="AE728" s="113"/>
      <c r="AF728" s="113"/>
      <c r="AG728" s="113"/>
      <c r="AH728" s="113"/>
      <c r="AI728" s="113"/>
      <c r="AJ728" s="113"/>
      <c r="AK728" s="113"/>
      <c r="AL728" s="113"/>
      <c r="AM728" s="113"/>
      <c r="AN728" s="113"/>
      <c r="AO728" s="113"/>
      <c r="AP728" s="113"/>
      <c r="AQ728" s="113"/>
      <c r="AR728" s="113"/>
      <c r="AS728" s="113"/>
      <c r="AT728" s="113"/>
      <c r="AU728" s="113"/>
      <c r="AV728" s="113"/>
      <c r="AW728" s="113"/>
      <c r="AX728" s="113"/>
      <c r="AY728" s="113"/>
      <c r="AZ728" s="113"/>
      <c r="BA728" s="113"/>
      <c r="BB728" s="113"/>
      <c r="BC728" s="113"/>
      <c r="BD728" s="113"/>
      <c r="BE728" s="113"/>
      <c r="BF728" s="113"/>
      <c r="BG728" s="113"/>
      <c r="BH728" s="113"/>
      <c r="BI728" s="113"/>
      <c r="BJ728" s="113"/>
      <c r="BK728" s="113"/>
      <c r="BL728" s="113"/>
      <c r="BM728" s="113"/>
      <c r="BN728" s="113"/>
      <c r="BO728" s="113"/>
      <c r="BP728" s="113"/>
      <c r="BQ728" s="113"/>
      <c r="BR728" s="113"/>
      <c r="BS728" s="113"/>
      <c r="BT728" s="113"/>
      <c r="BU728" s="113"/>
      <c r="BV728" s="113"/>
      <c r="BW728" s="113"/>
      <c r="BX728" s="113"/>
      <c r="BY728" s="113"/>
      <c r="BZ728" s="113"/>
      <c r="CA728" s="113"/>
      <c r="CB728" s="113"/>
      <c r="CC728" s="113"/>
      <c r="CD728" s="113"/>
      <c r="CE728" s="113"/>
      <c r="CF728" s="113"/>
      <c r="CG728" s="113"/>
      <c r="CH728" s="113"/>
      <c r="CI728" s="113"/>
      <c r="CJ728" s="113"/>
      <c r="CK728" s="113"/>
    </row>
    <row r="729" spans="1:89" s="112" customFormat="1">
      <c r="A729" s="162"/>
      <c r="B729" s="129">
        <v>720</v>
      </c>
      <c r="C729" s="106" t="s">
        <v>62</v>
      </c>
      <c r="D729" s="124" t="s">
        <v>11</v>
      </c>
      <c r="E729" s="210">
        <v>8</v>
      </c>
      <c r="F729" s="205">
        <v>8</v>
      </c>
      <c r="G729" s="205"/>
      <c r="H729" s="205">
        <v>5.2</v>
      </c>
      <c r="I729" s="205">
        <f t="shared" si="176"/>
        <v>0.156</v>
      </c>
      <c r="J729" s="147">
        <f t="shared" si="177"/>
        <v>0</v>
      </c>
      <c r="K729" s="147">
        <f t="shared" si="178"/>
        <v>41.6</v>
      </c>
      <c r="L729" s="147">
        <f t="shared" si="179"/>
        <v>1.248</v>
      </c>
      <c r="M729" s="147">
        <f t="shared" si="180"/>
        <v>42.847999999999999</v>
      </c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  <c r="AA729" s="113"/>
      <c r="AB729" s="113"/>
      <c r="AC729" s="113"/>
      <c r="AD729" s="113"/>
      <c r="AE729" s="113"/>
      <c r="AF729" s="113"/>
      <c r="AG729" s="113"/>
      <c r="AH729" s="113"/>
      <c r="AI729" s="113"/>
      <c r="AJ729" s="113"/>
      <c r="AK729" s="113"/>
      <c r="AL729" s="113"/>
      <c r="AM729" s="113"/>
      <c r="AN729" s="113"/>
      <c r="AO729" s="113"/>
      <c r="AP729" s="113"/>
      <c r="AQ729" s="113"/>
      <c r="AR729" s="113"/>
      <c r="AS729" s="113"/>
      <c r="AT729" s="113"/>
      <c r="AU729" s="113"/>
      <c r="AV729" s="113"/>
      <c r="AW729" s="113"/>
      <c r="AX729" s="113"/>
      <c r="AY729" s="113"/>
      <c r="AZ729" s="113"/>
      <c r="BA729" s="113"/>
      <c r="BB729" s="113"/>
      <c r="BC729" s="113"/>
      <c r="BD729" s="113"/>
      <c r="BE729" s="113"/>
      <c r="BF729" s="113"/>
      <c r="BG729" s="113"/>
      <c r="BH729" s="113"/>
      <c r="BI729" s="113"/>
      <c r="BJ729" s="113"/>
      <c r="BK729" s="113"/>
      <c r="BL729" s="113"/>
      <c r="BM729" s="113"/>
      <c r="BN729" s="113"/>
      <c r="BO729" s="113"/>
      <c r="BP729" s="113"/>
      <c r="BQ729" s="113"/>
      <c r="BR729" s="113"/>
      <c r="BS729" s="113"/>
      <c r="BT729" s="113"/>
      <c r="BU729" s="113"/>
      <c r="BV729" s="113"/>
      <c r="BW729" s="113"/>
      <c r="BX729" s="113"/>
      <c r="BY729" s="113"/>
      <c r="BZ729" s="113"/>
      <c r="CA729" s="113"/>
      <c r="CB729" s="113"/>
      <c r="CC729" s="113"/>
      <c r="CD729" s="113"/>
      <c r="CE729" s="113"/>
      <c r="CF729" s="113"/>
      <c r="CG729" s="113"/>
      <c r="CH729" s="113"/>
      <c r="CI729" s="113"/>
      <c r="CJ729" s="113"/>
      <c r="CK729" s="113"/>
    </row>
    <row r="730" spans="1:89" s="112" customFormat="1">
      <c r="A730" s="162"/>
      <c r="B730" s="129">
        <v>721</v>
      </c>
      <c r="C730" s="106"/>
      <c r="D730" s="124"/>
      <c r="E730" s="210"/>
      <c r="F730" s="205"/>
      <c r="G730" s="205"/>
      <c r="H730" s="205"/>
      <c r="I730" s="205"/>
      <c r="J730" s="147">
        <f t="shared" si="177"/>
        <v>0</v>
      </c>
      <c r="K730" s="147">
        <f t="shared" si="178"/>
        <v>0</v>
      </c>
      <c r="L730" s="147">
        <f t="shared" si="179"/>
        <v>0</v>
      </c>
      <c r="M730" s="147">
        <f t="shared" si="180"/>
        <v>0</v>
      </c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  <c r="AA730" s="113"/>
      <c r="AB730" s="113"/>
      <c r="AC730" s="113"/>
      <c r="AD730" s="113"/>
      <c r="AE730" s="113"/>
      <c r="AF730" s="113"/>
      <c r="AG730" s="113"/>
      <c r="AH730" s="113"/>
      <c r="AI730" s="113"/>
      <c r="AJ730" s="113"/>
      <c r="AK730" s="113"/>
      <c r="AL730" s="113"/>
      <c r="AM730" s="113"/>
      <c r="AN730" s="113"/>
      <c r="AO730" s="113"/>
      <c r="AP730" s="113"/>
      <c r="AQ730" s="113"/>
      <c r="AR730" s="113"/>
      <c r="AS730" s="113"/>
      <c r="AT730" s="113"/>
      <c r="AU730" s="113"/>
      <c r="AV730" s="113"/>
      <c r="AW730" s="113"/>
      <c r="AX730" s="113"/>
      <c r="AY730" s="113"/>
      <c r="AZ730" s="113"/>
      <c r="BA730" s="113"/>
      <c r="BB730" s="113"/>
      <c r="BC730" s="113"/>
      <c r="BD730" s="113"/>
      <c r="BE730" s="113"/>
      <c r="BF730" s="113"/>
      <c r="BG730" s="113"/>
      <c r="BH730" s="113"/>
      <c r="BI730" s="113"/>
      <c r="BJ730" s="113"/>
      <c r="BK730" s="113"/>
      <c r="BL730" s="113"/>
      <c r="BM730" s="113"/>
      <c r="BN730" s="113"/>
      <c r="BO730" s="113"/>
      <c r="BP730" s="113"/>
      <c r="BQ730" s="113"/>
      <c r="BR730" s="113"/>
      <c r="BS730" s="113"/>
      <c r="BT730" s="113"/>
      <c r="BU730" s="113"/>
      <c r="BV730" s="113"/>
      <c r="BW730" s="113"/>
      <c r="BX730" s="113"/>
      <c r="BY730" s="113"/>
      <c r="BZ730" s="113"/>
      <c r="CA730" s="113"/>
      <c r="CB730" s="113"/>
      <c r="CC730" s="113"/>
      <c r="CD730" s="113"/>
      <c r="CE730" s="113"/>
      <c r="CF730" s="113"/>
      <c r="CG730" s="113"/>
      <c r="CH730" s="113"/>
      <c r="CI730" s="113"/>
      <c r="CJ730" s="113"/>
      <c r="CK730" s="113"/>
    </row>
    <row r="731" spans="1:89">
      <c r="A731" s="160"/>
      <c r="B731" s="129">
        <v>722</v>
      </c>
      <c r="C731" s="132" t="s">
        <v>126</v>
      </c>
      <c r="D731" s="123" t="s">
        <v>114</v>
      </c>
      <c r="E731" s="204">
        <v>97</v>
      </c>
      <c r="F731" s="147">
        <v>97</v>
      </c>
      <c r="G731" s="147">
        <v>0.65</v>
      </c>
      <c r="H731" s="147"/>
      <c r="I731" s="205">
        <f t="shared" si="176"/>
        <v>6.5000000000000002E-2</v>
      </c>
      <c r="J731" s="147">
        <f t="shared" ref="J731:J741" si="181">F731*G731</f>
        <v>63.050000000000004</v>
      </c>
      <c r="K731" s="147">
        <f t="shared" ref="K731:K741" si="182">F731*H731</f>
        <v>0</v>
      </c>
      <c r="L731" s="147">
        <f t="shared" ref="L731:L741" si="183">F731*I731</f>
        <v>6.3050000000000006</v>
      </c>
      <c r="M731" s="147">
        <f t="shared" ref="M731:M741" si="184">J731+K731+L731</f>
        <v>69.355000000000004</v>
      </c>
      <c r="CD731" s="104"/>
      <c r="CE731" s="104"/>
      <c r="CF731" s="104"/>
      <c r="CG731" s="104"/>
      <c r="CH731" s="104"/>
      <c r="CI731" s="104"/>
      <c r="CJ731" s="104"/>
      <c r="CK731" s="104"/>
    </row>
    <row r="732" spans="1:89" s="112" customFormat="1">
      <c r="A732" s="162"/>
      <c r="B732" s="129">
        <v>723</v>
      </c>
      <c r="C732" s="106" t="s">
        <v>127</v>
      </c>
      <c r="D732" s="124" t="s">
        <v>114</v>
      </c>
      <c r="E732" s="210">
        <v>97</v>
      </c>
      <c r="F732" s="205">
        <v>97</v>
      </c>
      <c r="G732" s="205"/>
      <c r="H732" s="205">
        <v>1.38</v>
      </c>
      <c r="I732" s="205">
        <f t="shared" si="176"/>
        <v>4.1399999999999992E-2</v>
      </c>
      <c r="J732" s="147">
        <f t="shared" si="181"/>
        <v>0</v>
      </c>
      <c r="K732" s="147">
        <f t="shared" si="182"/>
        <v>133.85999999999999</v>
      </c>
      <c r="L732" s="147">
        <f t="shared" si="183"/>
        <v>4.0157999999999996</v>
      </c>
      <c r="M732" s="147">
        <f t="shared" si="184"/>
        <v>137.8758</v>
      </c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  <c r="AA732" s="113"/>
      <c r="AB732" s="113"/>
      <c r="AC732" s="113"/>
      <c r="AD732" s="113"/>
      <c r="AE732" s="113"/>
      <c r="AF732" s="113"/>
      <c r="AG732" s="113"/>
      <c r="AH732" s="113"/>
      <c r="AI732" s="113"/>
      <c r="AJ732" s="113"/>
      <c r="AK732" s="113"/>
      <c r="AL732" s="113"/>
      <c r="AM732" s="113"/>
      <c r="AN732" s="113"/>
      <c r="AO732" s="113"/>
      <c r="AP732" s="113"/>
      <c r="AQ732" s="113"/>
      <c r="AR732" s="113"/>
      <c r="AS732" s="113"/>
      <c r="AT732" s="113"/>
      <c r="AU732" s="113"/>
      <c r="AV732" s="113"/>
      <c r="AW732" s="113"/>
      <c r="AX732" s="113"/>
      <c r="AY732" s="113"/>
      <c r="AZ732" s="113"/>
      <c r="BA732" s="113"/>
      <c r="BB732" s="113"/>
      <c r="BC732" s="113"/>
      <c r="BD732" s="113"/>
      <c r="BE732" s="113"/>
      <c r="BF732" s="113"/>
      <c r="BG732" s="113"/>
      <c r="BH732" s="113"/>
      <c r="BI732" s="113"/>
      <c r="BJ732" s="113"/>
      <c r="BK732" s="113"/>
      <c r="BL732" s="113"/>
      <c r="BM732" s="113"/>
      <c r="BN732" s="113"/>
      <c r="BO732" s="113"/>
      <c r="BP732" s="113"/>
      <c r="BQ732" s="113"/>
      <c r="BR732" s="113"/>
      <c r="BS732" s="113"/>
      <c r="BT732" s="113"/>
      <c r="BU732" s="113"/>
      <c r="BV732" s="113"/>
      <c r="BW732" s="113"/>
      <c r="BX732" s="113"/>
      <c r="BY732" s="113"/>
      <c r="BZ732" s="113"/>
      <c r="CA732" s="113"/>
      <c r="CB732" s="113"/>
      <c r="CC732" s="113"/>
      <c r="CD732" s="113"/>
      <c r="CE732" s="113"/>
      <c r="CF732" s="113"/>
      <c r="CG732" s="113"/>
      <c r="CH732" s="113"/>
      <c r="CI732" s="113"/>
      <c r="CJ732" s="113"/>
      <c r="CK732" s="113"/>
    </row>
    <row r="733" spans="1:89" s="112" customFormat="1">
      <c r="A733" s="162"/>
      <c r="B733" s="129">
        <v>724</v>
      </c>
      <c r="C733" s="106" t="s">
        <v>128</v>
      </c>
      <c r="D733" s="124" t="s">
        <v>83</v>
      </c>
      <c r="E733" s="210">
        <v>100</v>
      </c>
      <c r="F733" s="205">
        <v>100</v>
      </c>
      <c r="G733" s="205"/>
      <c r="H733" s="205">
        <v>0.36</v>
      </c>
      <c r="I733" s="205">
        <f t="shared" si="176"/>
        <v>1.0799999999999999E-2</v>
      </c>
      <c r="J733" s="147">
        <f t="shared" si="181"/>
        <v>0</v>
      </c>
      <c r="K733" s="147">
        <f t="shared" si="182"/>
        <v>36</v>
      </c>
      <c r="L733" s="147">
        <f t="shared" si="183"/>
        <v>1.0799999999999998</v>
      </c>
      <c r="M733" s="147">
        <f t="shared" si="184"/>
        <v>37.08</v>
      </c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  <c r="AA733" s="113"/>
      <c r="AB733" s="113"/>
      <c r="AC733" s="113"/>
      <c r="AD733" s="113"/>
      <c r="AE733" s="113"/>
      <c r="AF733" s="113"/>
      <c r="AG733" s="113"/>
      <c r="AH733" s="113"/>
      <c r="AI733" s="113"/>
      <c r="AJ733" s="113"/>
      <c r="AK733" s="113"/>
      <c r="AL733" s="113"/>
      <c r="AM733" s="113"/>
      <c r="AN733" s="113"/>
      <c r="AO733" s="113"/>
      <c r="AP733" s="113"/>
      <c r="AQ733" s="113"/>
      <c r="AR733" s="113"/>
      <c r="AS733" s="113"/>
      <c r="AT733" s="113"/>
      <c r="AU733" s="113"/>
      <c r="AV733" s="113"/>
      <c r="AW733" s="113"/>
      <c r="AX733" s="113"/>
      <c r="AY733" s="113"/>
      <c r="AZ733" s="113"/>
      <c r="BA733" s="113"/>
      <c r="BB733" s="113"/>
      <c r="BC733" s="113"/>
      <c r="BD733" s="113"/>
      <c r="BE733" s="113"/>
      <c r="BF733" s="113"/>
      <c r="BG733" s="113"/>
      <c r="BH733" s="113"/>
      <c r="BI733" s="113"/>
      <c r="BJ733" s="113"/>
      <c r="BK733" s="113"/>
      <c r="BL733" s="113"/>
      <c r="BM733" s="113"/>
      <c r="BN733" s="113"/>
      <c r="BO733" s="113"/>
      <c r="BP733" s="113"/>
      <c r="BQ733" s="113"/>
      <c r="BR733" s="113"/>
      <c r="BS733" s="113"/>
      <c r="BT733" s="113"/>
      <c r="BU733" s="113"/>
      <c r="BV733" s="113"/>
      <c r="BW733" s="113"/>
      <c r="BX733" s="113"/>
      <c r="BY733" s="113"/>
      <c r="BZ733" s="113"/>
      <c r="CA733" s="113"/>
      <c r="CB733" s="113"/>
      <c r="CC733" s="113"/>
      <c r="CD733" s="113"/>
      <c r="CE733" s="113"/>
      <c r="CF733" s="113"/>
      <c r="CG733" s="113"/>
      <c r="CH733" s="113"/>
      <c r="CI733" s="113"/>
      <c r="CJ733" s="113"/>
      <c r="CK733" s="113"/>
    </row>
    <row r="734" spans="1:89">
      <c r="A734" s="160"/>
      <c r="B734" s="129">
        <v>725</v>
      </c>
      <c r="C734" s="132" t="s">
        <v>195</v>
      </c>
      <c r="D734" s="123" t="s">
        <v>6</v>
      </c>
      <c r="E734" s="204">
        <v>16.5</v>
      </c>
      <c r="F734" s="147">
        <v>16.5</v>
      </c>
      <c r="G734" s="147">
        <v>6.7</v>
      </c>
      <c r="H734" s="147">
        <v>39.6</v>
      </c>
      <c r="I734" s="205">
        <f>(G734*0.1)+(H734*0.03)</f>
        <v>1.8580000000000001</v>
      </c>
      <c r="J734" s="147">
        <f t="shared" si="181"/>
        <v>110.55</v>
      </c>
      <c r="K734" s="147">
        <f t="shared" si="182"/>
        <v>653.4</v>
      </c>
      <c r="L734" s="147">
        <f t="shared" si="183"/>
        <v>30.657</v>
      </c>
      <c r="M734" s="147">
        <f t="shared" si="184"/>
        <v>794.60699999999997</v>
      </c>
      <c r="CD734" s="104"/>
      <c r="CE734" s="104"/>
      <c r="CF734" s="104"/>
      <c r="CG734" s="104"/>
      <c r="CH734" s="104"/>
      <c r="CI734" s="104"/>
      <c r="CJ734" s="104"/>
      <c r="CK734" s="104"/>
    </row>
    <row r="735" spans="1:89">
      <c r="A735" s="160"/>
      <c r="B735" s="129">
        <v>726</v>
      </c>
      <c r="C735" s="109" t="s">
        <v>177</v>
      </c>
      <c r="D735" s="123" t="s">
        <v>6</v>
      </c>
      <c r="E735" s="204">
        <v>52</v>
      </c>
      <c r="F735" s="147">
        <v>52</v>
      </c>
      <c r="G735" s="147">
        <v>5</v>
      </c>
      <c r="H735" s="147">
        <v>35</v>
      </c>
      <c r="I735" s="205">
        <f>(G735*0.1)+(H735*0.03)</f>
        <v>1.55</v>
      </c>
      <c r="J735" s="147">
        <f t="shared" si="181"/>
        <v>260</v>
      </c>
      <c r="K735" s="147">
        <f t="shared" si="182"/>
        <v>1820</v>
      </c>
      <c r="L735" s="147">
        <f t="shared" si="183"/>
        <v>80.600000000000009</v>
      </c>
      <c r="M735" s="147">
        <f t="shared" si="184"/>
        <v>2160.6</v>
      </c>
      <c r="CD735" s="104"/>
      <c r="CE735" s="104"/>
      <c r="CF735" s="104"/>
      <c r="CG735" s="104"/>
      <c r="CH735" s="104"/>
      <c r="CI735" s="104"/>
      <c r="CJ735" s="104"/>
      <c r="CK735" s="104"/>
    </row>
    <row r="736" spans="1:89" s="107" customFormat="1">
      <c r="A736" s="159"/>
      <c r="B736" s="129">
        <v>727</v>
      </c>
      <c r="C736" s="132" t="s">
        <v>226</v>
      </c>
      <c r="D736" s="122"/>
      <c r="E736" s="207"/>
      <c r="F736" s="208"/>
      <c r="G736" s="208"/>
      <c r="H736" s="208"/>
      <c r="I736" s="206"/>
      <c r="J736" s="147">
        <f t="shared" si="181"/>
        <v>0</v>
      </c>
      <c r="K736" s="147">
        <f t="shared" si="182"/>
        <v>0</v>
      </c>
      <c r="L736" s="147">
        <f t="shared" si="183"/>
        <v>0</v>
      </c>
      <c r="M736" s="147">
        <f t="shared" si="184"/>
        <v>0</v>
      </c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  <c r="AD736" s="108"/>
      <c r="AE736" s="108"/>
      <c r="AF736" s="108"/>
      <c r="AG736" s="108"/>
      <c r="AH736" s="108"/>
      <c r="AI736" s="108"/>
      <c r="AJ736" s="108"/>
      <c r="AK736" s="108"/>
      <c r="AL736" s="108"/>
      <c r="AM736" s="108"/>
      <c r="AN736" s="108"/>
      <c r="AO736" s="108"/>
      <c r="AP736" s="108"/>
      <c r="AQ736" s="108"/>
      <c r="AR736" s="108"/>
      <c r="AS736" s="108"/>
      <c r="AT736" s="108"/>
      <c r="AU736" s="108"/>
      <c r="AV736" s="108"/>
      <c r="AW736" s="108"/>
      <c r="AX736" s="108"/>
      <c r="AY736" s="108"/>
      <c r="AZ736" s="108"/>
      <c r="BA736" s="108"/>
      <c r="BB736" s="108"/>
      <c r="BC736" s="108"/>
      <c r="BD736" s="108"/>
      <c r="BE736" s="108"/>
      <c r="BF736" s="108"/>
      <c r="BG736" s="108"/>
      <c r="BH736" s="108"/>
      <c r="BI736" s="108"/>
      <c r="BJ736" s="108"/>
      <c r="BK736" s="108"/>
      <c r="BL736" s="108"/>
      <c r="BM736" s="108"/>
      <c r="BN736" s="108"/>
      <c r="BO736" s="108"/>
      <c r="BP736" s="108"/>
      <c r="BQ736" s="108"/>
      <c r="BR736" s="108"/>
      <c r="BS736" s="108"/>
      <c r="BT736" s="108"/>
      <c r="BU736" s="108"/>
      <c r="BV736" s="108"/>
      <c r="BW736" s="108"/>
      <c r="BX736" s="108"/>
      <c r="BY736" s="108"/>
      <c r="BZ736" s="108"/>
      <c r="CA736" s="108"/>
      <c r="CB736" s="108"/>
      <c r="CC736" s="108"/>
      <c r="CD736" s="108"/>
      <c r="CE736" s="108"/>
      <c r="CF736" s="108"/>
      <c r="CG736" s="108"/>
      <c r="CH736" s="108"/>
      <c r="CI736" s="108"/>
      <c r="CJ736" s="108"/>
      <c r="CK736" s="108"/>
    </row>
    <row r="737" spans="1:89">
      <c r="A737" s="160"/>
      <c r="B737" s="129">
        <v>728</v>
      </c>
      <c r="C737" s="109" t="s">
        <v>226</v>
      </c>
      <c r="D737" s="123" t="s">
        <v>6</v>
      </c>
      <c r="E737" s="204">
        <v>21.9</v>
      </c>
      <c r="F737" s="147">
        <v>21.9</v>
      </c>
      <c r="G737" s="147">
        <v>5.5</v>
      </c>
      <c r="H737" s="147"/>
      <c r="I737" s="205">
        <f>(G737*0.1)+(H737*0.03)</f>
        <v>0.55000000000000004</v>
      </c>
      <c r="J737" s="147">
        <f t="shared" si="181"/>
        <v>120.44999999999999</v>
      </c>
      <c r="K737" s="147">
        <f t="shared" si="182"/>
        <v>0</v>
      </c>
      <c r="L737" s="147">
        <f t="shared" si="183"/>
        <v>12.045</v>
      </c>
      <c r="M737" s="147">
        <f t="shared" si="184"/>
        <v>132.49499999999998</v>
      </c>
      <c r="CD737" s="104"/>
      <c r="CE737" s="104"/>
      <c r="CF737" s="104"/>
      <c r="CG737" s="104"/>
      <c r="CH737" s="104"/>
      <c r="CI737" s="104"/>
      <c r="CJ737" s="104"/>
      <c r="CK737" s="104"/>
    </row>
    <row r="738" spans="1:89" s="112" customFormat="1">
      <c r="A738" s="162"/>
      <c r="B738" s="129">
        <v>729</v>
      </c>
      <c r="C738" s="106" t="s">
        <v>457</v>
      </c>
      <c r="D738" s="124" t="s">
        <v>47</v>
      </c>
      <c r="E738" s="210"/>
      <c r="F738" s="205">
        <f>4*12.8</f>
        <v>51.2</v>
      </c>
      <c r="G738" s="205"/>
      <c r="H738" s="205">
        <v>0.42</v>
      </c>
      <c r="I738" s="205">
        <f>(G738*0.1)+(H738*0.03)</f>
        <v>1.2599999999999998E-2</v>
      </c>
      <c r="J738" s="147">
        <f t="shared" si="181"/>
        <v>0</v>
      </c>
      <c r="K738" s="147">
        <f t="shared" si="182"/>
        <v>21.504000000000001</v>
      </c>
      <c r="L738" s="147">
        <f t="shared" si="183"/>
        <v>0.64511999999999992</v>
      </c>
      <c r="M738" s="147">
        <f t="shared" si="184"/>
        <v>22.14912</v>
      </c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  <c r="AA738" s="113"/>
      <c r="AB738" s="113"/>
      <c r="AC738" s="113"/>
      <c r="AD738" s="113"/>
      <c r="AE738" s="113"/>
      <c r="AF738" s="113"/>
      <c r="AG738" s="113"/>
      <c r="AH738" s="113"/>
      <c r="AI738" s="113"/>
      <c r="AJ738" s="113"/>
      <c r="AK738" s="113"/>
      <c r="AL738" s="113"/>
      <c r="AM738" s="113"/>
      <c r="AN738" s="113"/>
      <c r="AO738" s="113"/>
      <c r="AP738" s="113"/>
      <c r="AQ738" s="113"/>
      <c r="AR738" s="113"/>
      <c r="AS738" s="113"/>
      <c r="AT738" s="113"/>
      <c r="AU738" s="113"/>
      <c r="AV738" s="113"/>
      <c r="AW738" s="113"/>
      <c r="AX738" s="113"/>
      <c r="AY738" s="113"/>
      <c r="AZ738" s="113"/>
      <c r="BA738" s="113"/>
      <c r="BB738" s="113"/>
      <c r="BC738" s="113"/>
      <c r="BD738" s="113"/>
      <c r="BE738" s="113"/>
      <c r="BF738" s="113"/>
      <c r="BG738" s="113"/>
      <c r="BH738" s="113"/>
      <c r="BI738" s="113"/>
      <c r="BJ738" s="113"/>
      <c r="BK738" s="113"/>
      <c r="BL738" s="113"/>
      <c r="BM738" s="113"/>
      <c r="BN738" s="113"/>
      <c r="BO738" s="113"/>
      <c r="BP738" s="113"/>
      <c r="BQ738" s="113"/>
      <c r="BR738" s="113"/>
      <c r="BS738" s="113"/>
      <c r="BT738" s="113"/>
      <c r="BU738" s="113"/>
      <c r="BV738" s="113"/>
      <c r="BW738" s="113"/>
      <c r="BX738" s="113"/>
      <c r="BY738" s="113"/>
      <c r="BZ738" s="113"/>
      <c r="CA738" s="113"/>
      <c r="CB738" s="113"/>
      <c r="CC738" s="113"/>
      <c r="CD738" s="113"/>
      <c r="CE738" s="113"/>
      <c r="CF738" s="113"/>
      <c r="CG738" s="113"/>
      <c r="CH738" s="113"/>
      <c r="CI738" s="113"/>
      <c r="CJ738" s="113"/>
      <c r="CK738" s="113"/>
    </row>
    <row r="739" spans="1:89" s="112" customFormat="1">
      <c r="A739" s="162"/>
      <c r="B739" s="129">
        <v>730</v>
      </c>
      <c r="C739" s="106" t="s">
        <v>57</v>
      </c>
      <c r="D739" s="124" t="s">
        <v>6</v>
      </c>
      <c r="E739" s="210">
        <v>24</v>
      </c>
      <c r="F739" s="205">
        <v>24</v>
      </c>
      <c r="G739" s="205"/>
      <c r="H739" s="205">
        <v>6.5</v>
      </c>
      <c r="I739" s="205">
        <f>(G739*0.1)+(H739*0.03)</f>
        <v>0.19500000000000001</v>
      </c>
      <c r="J739" s="147">
        <f t="shared" si="181"/>
        <v>0</v>
      </c>
      <c r="K739" s="147">
        <f t="shared" si="182"/>
        <v>156</v>
      </c>
      <c r="L739" s="147">
        <f t="shared" si="183"/>
        <v>4.68</v>
      </c>
      <c r="M739" s="147">
        <f t="shared" si="184"/>
        <v>160.68</v>
      </c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  <c r="AA739" s="113"/>
      <c r="AB739" s="113"/>
      <c r="AC739" s="113"/>
      <c r="AD739" s="113"/>
      <c r="AE739" s="113"/>
      <c r="AF739" s="113"/>
      <c r="AG739" s="113"/>
      <c r="AH739" s="113"/>
      <c r="AI739" s="113"/>
      <c r="AJ739" s="113"/>
      <c r="AK739" s="113"/>
      <c r="AL739" s="113"/>
      <c r="AM739" s="113"/>
      <c r="AN739" s="113"/>
      <c r="AO739" s="113"/>
      <c r="AP739" s="113"/>
      <c r="AQ739" s="113"/>
      <c r="AR739" s="113"/>
      <c r="AS739" s="113"/>
      <c r="AT739" s="113"/>
      <c r="AU739" s="113"/>
      <c r="AV739" s="113"/>
      <c r="AW739" s="113"/>
      <c r="AX739" s="113"/>
      <c r="AY739" s="113"/>
      <c r="AZ739" s="113"/>
      <c r="BA739" s="113"/>
      <c r="BB739" s="113"/>
      <c r="BC739" s="113"/>
      <c r="BD739" s="113"/>
      <c r="BE739" s="113"/>
      <c r="BF739" s="113"/>
      <c r="BG739" s="113"/>
      <c r="BH739" s="113"/>
      <c r="BI739" s="113"/>
      <c r="BJ739" s="113"/>
      <c r="BK739" s="113"/>
      <c r="BL739" s="113"/>
      <c r="BM739" s="113"/>
      <c r="BN739" s="113"/>
      <c r="BO739" s="113"/>
      <c r="BP739" s="113"/>
      <c r="BQ739" s="113"/>
      <c r="BR739" s="113"/>
      <c r="BS739" s="113"/>
      <c r="BT739" s="113"/>
      <c r="BU739" s="113"/>
      <c r="BV739" s="113"/>
      <c r="BW739" s="113"/>
      <c r="BX739" s="113"/>
      <c r="BY739" s="113"/>
      <c r="BZ739" s="113"/>
      <c r="CA739" s="113"/>
      <c r="CB739" s="113"/>
      <c r="CC739" s="113"/>
      <c r="CD739" s="113"/>
      <c r="CE739" s="113"/>
      <c r="CF739" s="113"/>
      <c r="CG739" s="113"/>
      <c r="CH739" s="113"/>
      <c r="CI739" s="113"/>
      <c r="CJ739" s="113"/>
      <c r="CK739" s="113"/>
    </row>
    <row r="740" spans="1:89" s="112" customFormat="1">
      <c r="A740" s="162"/>
      <c r="B740" s="129">
        <v>731</v>
      </c>
      <c r="C740" s="106" t="s">
        <v>58</v>
      </c>
      <c r="D740" s="124" t="s">
        <v>47</v>
      </c>
      <c r="E740" s="210">
        <v>96</v>
      </c>
      <c r="F740" s="205">
        <f>4.5*F737</f>
        <v>98.55</v>
      </c>
      <c r="G740" s="205"/>
      <c r="H740" s="205">
        <v>0.23</v>
      </c>
      <c r="I740" s="205">
        <f>(G740*0.1)+(H740*0.03)</f>
        <v>6.8999999999999999E-3</v>
      </c>
      <c r="J740" s="147">
        <f t="shared" si="181"/>
        <v>0</v>
      </c>
      <c r="K740" s="147">
        <f t="shared" si="182"/>
        <v>22.666499999999999</v>
      </c>
      <c r="L740" s="147">
        <f t="shared" si="183"/>
        <v>0.67999500000000002</v>
      </c>
      <c r="M740" s="147">
        <f t="shared" si="184"/>
        <v>23.346495000000001</v>
      </c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  <c r="AA740" s="113"/>
      <c r="AB740" s="113"/>
      <c r="AC740" s="113"/>
      <c r="AD740" s="113"/>
      <c r="AE740" s="113"/>
      <c r="AF740" s="113"/>
      <c r="AG740" s="113"/>
      <c r="AH740" s="113"/>
      <c r="AI740" s="113"/>
      <c r="AJ740" s="113"/>
      <c r="AK740" s="113"/>
      <c r="AL740" s="113"/>
      <c r="AM740" s="113"/>
      <c r="AN740" s="113"/>
      <c r="AO740" s="113"/>
      <c r="AP740" s="113"/>
      <c r="AQ740" s="113"/>
      <c r="AR740" s="113"/>
      <c r="AS740" s="113"/>
      <c r="AT740" s="113"/>
      <c r="AU740" s="113"/>
      <c r="AV740" s="113"/>
      <c r="AW740" s="113"/>
      <c r="AX740" s="113"/>
      <c r="AY740" s="113"/>
      <c r="AZ740" s="113"/>
      <c r="BA740" s="113"/>
      <c r="BB740" s="113"/>
      <c r="BC740" s="113"/>
      <c r="BD740" s="113"/>
      <c r="BE740" s="113"/>
      <c r="BF740" s="113"/>
      <c r="BG740" s="113"/>
      <c r="BH740" s="113"/>
      <c r="BI740" s="113"/>
      <c r="BJ740" s="113"/>
      <c r="BK740" s="113"/>
      <c r="BL740" s="113"/>
      <c r="BM740" s="113"/>
      <c r="BN740" s="113"/>
      <c r="BO740" s="113"/>
      <c r="BP740" s="113"/>
      <c r="BQ740" s="113"/>
      <c r="BR740" s="113"/>
      <c r="BS740" s="113"/>
      <c r="BT740" s="113"/>
      <c r="BU740" s="113"/>
      <c r="BV740" s="113"/>
      <c r="BW740" s="113"/>
      <c r="BX740" s="113"/>
      <c r="BY740" s="113"/>
      <c r="BZ740" s="113"/>
      <c r="CA740" s="113"/>
      <c r="CB740" s="113"/>
      <c r="CC740" s="113"/>
      <c r="CD740" s="113"/>
      <c r="CE740" s="113"/>
      <c r="CF740" s="113"/>
      <c r="CG740" s="113"/>
      <c r="CH740" s="113"/>
      <c r="CI740" s="113"/>
      <c r="CJ740" s="113"/>
      <c r="CK740" s="113"/>
    </row>
    <row r="741" spans="1:89" s="112" customFormat="1">
      <c r="A741" s="162"/>
      <c r="B741" s="129">
        <v>732</v>
      </c>
      <c r="C741" s="106" t="s">
        <v>59</v>
      </c>
      <c r="D741" s="124" t="s">
        <v>47</v>
      </c>
      <c r="E741" s="210">
        <v>22</v>
      </c>
      <c r="F741" s="205">
        <f>F737</f>
        <v>21.9</v>
      </c>
      <c r="G741" s="205"/>
      <c r="H741" s="205">
        <v>0.05</v>
      </c>
      <c r="I741" s="205">
        <f>(G741*0.1)+(H741*0.03)</f>
        <v>1.5E-3</v>
      </c>
      <c r="J741" s="147">
        <f t="shared" si="181"/>
        <v>0</v>
      </c>
      <c r="K741" s="147">
        <f t="shared" si="182"/>
        <v>1.095</v>
      </c>
      <c r="L741" s="147">
        <f t="shared" si="183"/>
        <v>3.2849999999999997E-2</v>
      </c>
      <c r="M741" s="147">
        <f t="shared" si="184"/>
        <v>1.12785</v>
      </c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  <c r="AA741" s="113"/>
      <c r="AB741" s="113"/>
      <c r="AC741" s="113"/>
      <c r="AD741" s="113"/>
      <c r="AE741" s="113"/>
      <c r="AF741" s="113"/>
      <c r="AG741" s="113"/>
      <c r="AH741" s="113"/>
      <c r="AI741" s="113"/>
      <c r="AJ741" s="113"/>
      <c r="AK741" s="113"/>
      <c r="AL741" s="113"/>
      <c r="AM741" s="113"/>
      <c r="AN741" s="113"/>
      <c r="AO741" s="113"/>
      <c r="AP741" s="113"/>
      <c r="AQ741" s="113"/>
      <c r="AR741" s="113"/>
      <c r="AS741" s="113"/>
      <c r="AT741" s="113"/>
      <c r="AU741" s="113"/>
      <c r="AV741" s="113"/>
      <c r="AW741" s="113"/>
      <c r="AX741" s="113"/>
      <c r="AY741" s="113"/>
      <c r="AZ741" s="113"/>
      <c r="BA741" s="113"/>
      <c r="BB741" s="113"/>
      <c r="BC741" s="113"/>
      <c r="BD741" s="113"/>
      <c r="BE741" s="113"/>
      <c r="BF741" s="113"/>
      <c r="BG741" s="113"/>
      <c r="BH741" s="113"/>
      <c r="BI741" s="113"/>
      <c r="BJ741" s="113"/>
      <c r="BK741" s="113"/>
      <c r="BL741" s="113"/>
      <c r="BM741" s="113"/>
      <c r="BN741" s="113"/>
      <c r="BO741" s="113"/>
      <c r="BP741" s="113"/>
      <c r="BQ741" s="113"/>
      <c r="BR741" s="113"/>
      <c r="BS741" s="113"/>
      <c r="BT741" s="113"/>
      <c r="BU741" s="113"/>
      <c r="BV741" s="113"/>
      <c r="BW741" s="113"/>
      <c r="BX741" s="113"/>
      <c r="BY741" s="113"/>
      <c r="BZ741" s="113"/>
      <c r="CA741" s="113"/>
      <c r="CB741" s="113"/>
      <c r="CC741" s="113"/>
      <c r="CD741" s="113"/>
      <c r="CE741" s="113"/>
      <c r="CF741" s="113"/>
      <c r="CG741" s="113"/>
      <c r="CH741" s="113"/>
      <c r="CI741" s="113"/>
      <c r="CJ741" s="113"/>
      <c r="CK741" s="113"/>
    </row>
    <row r="742" spans="1:89" s="112" customFormat="1">
      <c r="A742" s="162"/>
      <c r="B742" s="129">
        <v>733</v>
      </c>
      <c r="C742" s="115" t="s">
        <v>458</v>
      </c>
      <c r="D742" s="124"/>
      <c r="E742" s="210"/>
      <c r="F742" s="205"/>
      <c r="G742" s="205"/>
      <c r="H742" s="205"/>
      <c r="I742" s="205"/>
      <c r="J742" s="147">
        <f t="shared" ref="J742:J749" si="185">F742*G742</f>
        <v>0</v>
      </c>
      <c r="K742" s="147">
        <f t="shared" ref="K742:K749" si="186">F742*H742</f>
        <v>0</v>
      </c>
      <c r="L742" s="147">
        <f t="shared" ref="L742:L749" si="187">F742*I742</f>
        <v>0</v>
      </c>
      <c r="M742" s="147">
        <f t="shared" ref="M742:M749" si="188">J742+K742+L742</f>
        <v>0</v>
      </c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  <c r="AA742" s="113"/>
      <c r="AB742" s="113"/>
      <c r="AC742" s="113"/>
      <c r="AD742" s="113"/>
      <c r="AE742" s="113"/>
      <c r="AF742" s="113"/>
      <c r="AG742" s="113"/>
      <c r="AH742" s="113"/>
      <c r="AI742" s="113"/>
      <c r="AJ742" s="113"/>
      <c r="AK742" s="113"/>
      <c r="AL742" s="113"/>
      <c r="AM742" s="113"/>
      <c r="AN742" s="113"/>
      <c r="AO742" s="113"/>
      <c r="AP742" s="113"/>
      <c r="AQ742" s="113"/>
      <c r="AR742" s="113"/>
      <c r="AS742" s="113"/>
      <c r="AT742" s="113"/>
      <c r="AU742" s="113"/>
      <c r="AV742" s="113"/>
      <c r="AW742" s="113"/>
      <c r="AX742" s="113"/>
      <c r="AY742" s="113"/>
      <c r="AZ742" s="113"/>
      <c r="BA742" s="113"/>
      <c r="BB742" s="113"/>
      <c r="BC742" s="113"/>
      <c r="BD742" s="113"/>
      <c r="BE742" s="113"/>
      <c r="BF742" s="113"/>
      <c r="BG742" s="113"/>
      <c r="BH742" s="113"/>
      <c r="BI742" s="113"/>
      <c r="BJ742" s="113"/>
      <c r="BK742" s="113"/>
      <c r="BL742" s="113"/>
      <c r="BM742" s="113"/>
      <c r="BN742" s="113"/>
      <c r="BO742" s="113"/>
      <c r="BP742" s="113"/>
      <c r="BQ742" s="113"/>
      <c r="BR742" s="113"/>
      <c r="BS742" s="113"/>
      <c r="BT742" s="113"/>
      <c r="BU742" s="113"/>
      <c r="BV742" s="113"/>
      <c r="BW742" s="113"/>
      <c r="BX742" s="113"/>
      <c r="BY742" s="113"/>
      <c r="BZ742" s="113"/>
      <c r="CA742" s="113"/>
      <c r="CB742" s="113"/>
      <c r="CC742" s="113"/>
      <c r="CD742" s="113"/>
      <c r="CE742" s="113"/>
      <c r="CF742" s="113"/>
      <c r="CG742" s="113"/>
      <c r="CH742" s="113"/>
      <c r="CI742" s="113"/>
      <c r="CJ742" s="113"/>
      <c r="CK742" s="113"/>
    </row>
    <row r="743" spans="1:89" s="107" customFormat="1">
      <c r="A743" s="159"/>
      <c r="B743" s="129">
        <v>734</v>
      </c>
      <c r="C743" s="182" t="s">
        <v>82</v>
      </c>
      <c r="D743" s="122"/>
      <c r="E743" s="207"/>
      <c r="F743" s="208"/>
      <c r="G743" s="208"/>
      <c r="H743" s="208"/>
      <c r="I743" s="206"/>
      <c r="J743" s="147">
        <f t="shared" si="185"/>
        <v>0</v>
      </c>
      <c r="K743" s="147">
        <f t="shared" si="186"/>
        <v>0</v>
      </c>
      <c r="L743" s="147">
        <f t="shared" si="187"/>
        <v>0</v>
      </c>
      <c r="M743" s="147">
        <f t="shared" si="188"/>
        <v>0</v>
      </c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  <c r="AA743" s="108"/>
      <c r="AB743" s="108"/>
      <c r="AC743" s="108"/>
      <c r="AD743" s="108"/>
      <c r="AE743" s="108"/>
      <c r="AF743" s="108"/>
      <c r="AG743" s="108"/>
      <c r="AH743" s="108"/>
      <c r="AI743" s="108"/>
      <c r="AJ743" s="108"/>
      <c r="AK743" s="108"/>
      <c r="AL743" s="108"/>
      <c r="AM743" s="108"/>
      <c r="AN743" s="108"/>
      <c r="AO743" s="108"/>
      <c r="AP743" s="108"/>
      <c r="AQ743" s="108"/>
      <c r="AR743" s="108"/>
      <c r="AS743" s="108"/>
      <c r="AT743" s="108"/>
      <c r="AU743" s="108"/>
      <c r="AV743" s="108"/>
      <c r="AW743" s="108"/>
      <c r="AX743" s="108"/>
      <c r="AY743" s="108"/>
      <c r="AZ743" s="108"/>
      <c r="BA743" s="108"/>
      <c r="BB743" s="108"/>
      <c r="BC743" s="108"/>
      <c r="BD743" s="108"/>
      <c r="BE743" s="108"/>
      <c r="BF743" s="108"/>
      <c r="BG743" s="108"/>
      <c r="BH743" s="108"/>
      <c r="BI743" s="108"/>
      <c r="BJ743" s="108"/>
      <c r="BK743" s="108"/>
      <c r="BL743" s="108"/>
      <c r="BM743" s="108"/>
      <c r="BN743" s="108"/>
      <c r="BO743" s="108"/>
      <c r="BP743" s="108"/>
      <c r="BQ743" s="108"/>
      <c r="BR743" s="108"/>
      <c r="BS743" s="108"/>
      <c r="BT743" s="108"/>
      <c r="BU743" s="108"/>
      <c r="BV743" s="108"/>
      <c r="BW743" s="108"/>
      <c r="BX743" s="108"/>
      <c r="BY743" s="108"/>
      <c r="BZ743" s="108"/>
      <c r="CA743" s="108"/>
      <c r="CB743" s="108"/>
      <c r="CC743" s="108"/>
      <c r="CD743" s="108"/>
      <c r="CE743" s="108"/>
      <c r="CF743" s="108"/>
      <c r="CG743" s="108"/>
      <c r="CH743" s="108"/>
      <c r="CI743" s="108"/>
      <c r="CJ743" s="108"/>
      <c r="CK743" s="108"/>
    </row>
    <row r="744" spans="1:89">
      <c r="B744" s="129">
        <v>735</v>
      </c>
      <c r="C744" s="117" t="s">
        <v>448</v>
      </c>
      <c r="D744" s="123"/>
      <c r="E744" s="129"/>
      <c r="F744" s="147"/>
      <c r="G744" s="147"/>
      <c r="H744" s="147"/>
      <c r="I744" s="147"/>
      <c r="J744" s="147">
        <f t="shared" si="185"/>
        <v>0</v>
      </c>
      <c r="K744" s="147">
        <f t="shared" si="186"/>
        <v>0</v>
      </c>
      <c r="L744" s="147">
        <f t="shared" si="187"/>
        <v>0</v>
      </c>
      <c r="M744" s="147">
        <f t="shared" si="188"/>
        <v>0</v>
      </c>
      <c r="CD744" s="104"/>
      <c r="CE744" s="104"/>
      <c r="CF744" s="104"/>
      <c r="CG744" s="104"/>
      <c r="CH744" s="104"/>
      <c r="CI744" s="104"/>
      <c r="CJ744" s="104"/>
      <c r="CK744" s="104"/>
    </row>
    <row r="745" spans="1:89">
      <c r="A745" s="160"/>
      <c r="B745" s="129">
        <v>736</v>
      </c>
      <c r="C745" s="109" t="s">
        <v>221</v>
      </c>
      <c r="D745" s="123" t="s">
        <v>220</v>
      </c>
      <c r="E745" s="204">
        <v>18</v>
      </c>
      <c r="F745" s="147">
        <v>18</v>
      </c>
      <c r="G745" s="147">
        <v>23</v>
      </c>
      <c r="H745" s="147"/>
      <c r="I745" s="205">
        <f>(G745*0.1)+(H745*0.03)</f>
        <v>2.3000000000000003</v>
      </c>
      <c r="J745" s="147">
        <f t="shared" si="185"/>
        <v>414</v>
      </c>
      <c r="K745" s="147">
        <f t="shared" si="186"/>
        <v>0</v>
      </c>
      <c r="L745" s="147">
        <f t="shared" si="187"/>
        <v>41.400000000000006</v>
      </c>
      <c r="M745" s="147">
        <f t="shared" si="188"/>
        <v>455.4</v>
      </c>
      <c r="CD745" s="104"/>
      <c r="CE745" s="104"/>
      <c r="CF745" s="104"/>
      <c r="CG745" s="104"/>
      <c r="CH745" s="104"/>
      <c r="CI745" s="104"/>
      <c r="CJ745" s="104"/>
      <c r="CK745" s="104"/>
    </row>
    <row r="746" spans="1:89" s="112" customFormat="1">
      <c r="A746" s="162"/>
      <c r="B746" s="129">
        <v>737</v>
      </c>
      <c r="C746" s="106" t="s">
        <v>223</v>
      </c>
      <c r="D746" s="124" t="s">
        <v>83</v>
      </c>
      <c r="E746" s="210">
        <v>1</v>
      </c>
      <c r="F746" s="205">
        <v>1</v>
      </c>
      <c r="G746" s="205"/>
      <c r="H746" s="205">
        <v>585</v>
      </c>
      <c r="I746" s="205">
        <f>(G746*0.1)+(H746*0.03)</f>
        <v>17.55</v>
      </c>
      <c r="J746" s="147">
        <f t="shared" si="185"/>
        <v>0</v>
      </c>
      <c r="K746" s="147">
        <f t="shared" si="186"/>
        <v>585</v>
      </c>
      <c r="L746" s="147">
        <f t="shared" si="187"/>
        <v>17.55</v>
      </c>
      <c r="M746" s="147">
        <f t="shared" si="188"/>
        <v>602.54999999999995</v>
      </c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  <c r="AA746" s="113"/>
      <c r="AB746" s="113"/>
      <c r="AC746" s="113"/>
      <c r="AD746" s="113"/>
      <c r="AE746" s="113"/>
      <c r="AF746" s="113"/>
      <c r="AG746" s="113"/>
      <c r="AH746" s="113"/>
      <c r="AI746" s="113"/>
      <c r="AJ746" s="113"/>
      <c r="AK746" s="113"/>
      <c r="AL746" s="113"/>
      <c r="AM746" s="113"/>
      <c r="AN746" s="113"/>
      <c r="AO746" s="113"/>
      <c r="AP746" s="113"/>
      <c r="AQ746" s="113"/>
      <c r="AR746" s="113"/>
      <c r="AS746" s="113"/>
      <c r="AT746" s="113"/>
      <c r="AU746" s="113"/>
      <c r="AV746" s="113"/>
      <c r="AW746" s="113"/>
      <c r="AX746" s="113"/>
      <c r="AY746" s="113"/>
      <c r="AZ746" s="113"/>
      <c r="BA746" s="113"/>
      <c r="BB746" s="113"/>
      <c r="BC746" s="113"/>
      <c r="BD746" s="113"/>
      <c r="BE746" s="113"/>
      <c r="BF746" s="113"/>
      <c r="BG746" s="113"/>
      <c r="BH746" s="113"/>
      <c r="BI746" s="113"/>
      <c r="BJ746" s="113"/>
      <c r="BK746" s="113"/>
      <c r="BL746" s="113"/>
      <c r="BM746" s="113"/>
      <c r="BN746" s="113"/>
      <c r="BO746" s="113"/>
      <c r="BP746" s="113"/>
      <c r="BQ746" s="113"/>
      <c r="BR746" s="113"/>
      <c r="BS746" s="113"/>
      <c r="BT746" s="113"/>
      <c r="BU746" s="113"/>
      <c r="BV746" s="113"/>
      <c r="BW746" s="113"/>
      <c r="BX746" s="113"/>
      <c r="BY746" s="113"/>
      <c r="BZ746" s="113"/>
      <c r="CA746" s="113"/>
      <c r="CB746" s="113"/>
      <c r="CC746" s="113"/>
      <c r="CD746" s="113"/>
      <c r="CE746" s="113"/>
      <c r="CF746" s="113"/>
      <c r="CG746" s="113"/>
      <c r="CH746" s="113"/>
      <c r="CI746" s="113"/>
      <c r="CJ746" s="113"/>
      <c r="CK746" s="113"/>
    </row>
    <row r="747" spans="1:89" s="112" customFormat="1">
      <c r="A747" s="162"/>
      <c r="B747" s="129">
        <v>738</v>
      </c>
      <c r="C747" s="106" t="s">
        <v>224</v>
      </c>
      <c r="D747" s="124" t="s">
        <v>83</v>
      </c>
      <c r="E747" s="210">
        <v>1</v>
      </c>
      <c r="F747" s="205">
        <v>2</v>
      </c>
      <c r="G747" s="205"/>
      <c r="H747" s="205">
        <v>132</v>
      </c>
      <c r="I747" s="205">
        <f>(G747*0.1)+(H747*0.03)</f>
        <v>3.96</v>
      </c>
      <c r="J747" s="147">
        <f t="shared" si="185"/>
        <v>0</v>
      </c>
      <c r="K747" s="147">
        <f t="shared" si="186"/>
        <v>264</v>
      </c>
      <c r="L747" s="147">
        <f t="shared" si="187"/>
        <v>7.92</v>
      </c>
      <c r="M747" s="147">
        <f t="shared" si="188"/>
        <v>271.92</v>
      </c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  <c r="AA747" s="113"/>
      <c r="AB747" s="113"/>
      <c r="AC747" s="113"/>
      <c r="AD747" s="113"/>
      <c r="AE747" s="113"/>
      <c r="AF747" s="113"/>
      <c r="AG747" s="113"/>
      <c r="AH747" s="113"/>
      <c r="AI747" s="113"/>
      <c r="AJ747" s="113"/>
      <c r="AK747" s="113"/>
      <c r="AL747" s="113"/>
      <c r="AM747" s="113"/>
      <c r="AN747" s="113"/>
      <c r="AO747" s="113"/>
      <c r="AP747" s="113"/>
      <c r="AQ747" s="113"/>
      <c r="AR747" s="113"/>
      <c r="AS747" s="113"/>
      <c r="AT747" s="113"/>
      <c r="AU747" s="113"/>
      <c r="AV747" s="113"/>
      <c r="AW747" s="113"/>
      <c r="AX747" s="113"/>
      <c r="AY747" s="113"/>
      <c r="AZ747" s="113"/>
      <c r="BA747" s="113"/>
      <c r="BB747" s="113"/>
      <c r="BC747" s="113"/>
      <c r="BD747" s="113"/>
      <c r="BE747" s="113"/>
      <c r="BF747" s="113"/>
      <c r="BG747" s="113"/>
      <c r="BH747" s="113"/>
      <c r="BI747" s="113"/>
      <c r="BJ747" s="113"/>
      <c r="BK747" s="113"/>
      <c r="BL747" s="113"/>
      <c r="BM747" s="113"/>
      <c r="BN747" s="113"/>
      <c r="BO747" s="113"/>
      <c r="BP747" s="113"/>
      <c r="BQ747" s="113"/>
      <c r="BR747" s="113"/>
      <c r="BS747" s="113"/>
      <c r="BT747" s="113"/>
      <c r="BU747" s="113"/>
      <c r="BV747" s="113"/>
      <c r="BW747" s="113"/>
      <c r="BX747" s="113"/>
      <c r="BY747" s="113"/>
      <c r="BZ747" s="113"/>
      <c r="CA747" s="113"/>
      <c r="CB747" s="113"/>
      <c r="CC747" s="113"/>
      <c r="CD747" s="113"/>
      <c r="CE747" s="113"/>
      <c r="CF747" s="113"/>
      <c r="CG747" s="113"/>
      <c r="CH747" s="113"/>
      <c r="CI747" s="113"/>
      <c r="CJ747" s="113"/>
      <c r="CK747" s="113"/>
    </row>
    <row r="748" spans="1:89" s="112" customFormat="1">
      <c r="A748" s="162"/>
      <c r="B748" s="129">
        <v>739</v>
      </c>
      <c r="C748" s="106" t="s">
        <v>222</v>
      </c>
      <c r="D748" s="124" t="s">
        <v>114</v>
      </c>
      <c r="E748" s="210">
        <v>179</v>
      </c>
      <c r="F748" s="205">
        <v>179</v>
      </c>
      <c r="G748" s="205"/>
      <c r="H748" s="205">
        <v>1.5</v>
      </c>
      <c r="I748" s="205">
        <f>(G748*0.1)+(H748*0.03)</f>
        <v>4.4999999999999998E-2</v>
      </c>
      <c r="J748" s="147">
        <f t="shared" si="185"/>
        <v>0</v>
      </c>
      <c r="K748" s="147">
        <f t="shared" si="186"/>
        <v>268.5</v>
      </c>
      <c r="L748" s="147">
        <f t="shared" si="187"/>
        <v>8.0549999999999997</v>
      </c>
      <c r="M748" s="147">
        <f t="shared" si="188"/>
        <v>276.55500000000001</v>
      </c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  <c r="AA748" s="113"/>
      <c r="AB748" s="113"/>
      <c r="AC748" s="113"/>
      <c r="AD748" s="113"/>
      <c r="AE748" s="113"/>
      <c r="AF748" s="113"/>
      <c r="AG748" s="113"/>
      <c r="AH748" s="113"/>
      <c r="AI748" s="113"/>
      <c r="AJ748" s="113"/>
      <c r="AK748" s="113"/>
      <c r="AL748" s="113"/>
      <c r="AM748" s="113"/>
      <c r="AN748" s="113"/>
      <c r="AO748" s="113"/>
      <c r="AP748" s="113"/>
      <c r="AQ748" s="113"/>
      <c r="AR748" s="113"/>
      <c r="AS748" s="113"/>
      <c r="AT748" s="113"/>
      <c r="AU748" s="113"/>
      <c r="AV748" s="113"/>
      <c r="AW748" s="113"/>
      <c r="AX748" s="113"/>
      <c r="AY748" s="113"/>
      <c r="AZ748" s="113"/>
      <c r="BA748" s="113"/>
      <c r="BB748" s="113"/>
      <c r="BC748" s="113"/>
      <c r="BD748" s="113"/>
      <c r="BE748" s="113"/>
      <c r="BF748" s="113"/>
      <c r="BG748" s="113"/>
      <c r="BH748" s="113"/>
      <c r="BI748" s="113"/>
      <c r="BJ748" s="113"/>
      <c r="BK748" s="113"/>
      <c r="BL748" s="113"/>
      <c r="BM748" s="113"/>
      <c r="BN748" s="113"/>
      <c r="BO748" s="113"/>
      <c r="BP748" s="113"/>
      <c r="BQ748" s="113"/>
      <c r="BR748" s="113"/>
      <c r="BS748" s="113"/>
      <c r="BT748" s="113"/>
      <c r="BU748" s="113"/>
      <c r="BV748" s="113"/>
      <c r="BW748" s="113"/>
      <c r="BX748" s="113"/>
      <c r="BY748" s="113"/>
      <c r="BZ748" s="113"/>
      <c r="CA748" s="113"/>
      <c r="CB748" s="113"/>
      <c r="CC748" s="113"/>
      <c r="CD748" s="113"/>
      <c r="CE748" s="113"/>
      <c r="CF748" s="113"/>
      <c r="CG748" s="113"/>
      <c r="CH748" s="113"/>
      <c r="CI748" s="113"/>
      <c r="CJ748" s="113"/>
      <c r="CK748" s="113"/>
    </row>
    <row r="749" spans="1:89" s="112" customFormat="1">
      <c r="A749" s="162"/>
      <c r="B749" s="129">
        <v>740</v>
      </c>
      <c r="C749" s="106" t="s">
        <v>227</v>
      </c>
      <c r="D749" s="124" t="s">
        <v>83</v>
      </c>
      <c r="E749" s="210">
        <v>16</v>
      </c>
      <c r="F749" s="205">
        <v>16</v>
      </c>
      <c r="G749" s="205"/>
      <c r="H749" s="205">
        <v>30</v>
      </c>
      <c r="I749" s="205">
        <f>(G749*0.1)+(H749*0.03)</f>
        <v>0.89999999999999991</v>
      </c>
      <c r="J749" s="147">
        <f t="shared" si="185"/>
        <v>0</v>
      </c>
      <c r="K749" s="147">
        <f t="shared" si="186"/>
        <v>480</v>
      </c>
      <c r="L749" s="147">
        <f t="shared" si="187"/>
        <v>14.399999999999999</v>
      </c>
      <c r="M749" s="147">
        <f t="shared" si="188"/>
        <v>494.4</v>
      </c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  <c r="AA749" s="113"/>
      <c r="AB749" s="113"/>
      <c r="AC749" s="113"/>
      <c r="AD749" s="113"/>
      <c r="AE749" s="113"/>
      <c r="AF749" s="113"/>
      <c r="AG749" s="113"/>
      <c r="AH749" s="113"/>
      <c r="AI749" s="113"/>
      <c r="AJ749" s="113"/>
      <c r="AK749" s="113"/>
      <c r="AL749" s="113"/>
      <c r="AM749" s="113"/>
      <c r="AN749" s="113"/>
      <c r="AO749" s="113"/>
      <c r="AP749" s="113"/>
      <c r="AQ749" s="113"/>
      <c r="AR749" s="113"/>
      <c r="AS749" s="113"/>
      <c r="AT749" s="113"/>
      <c r="AU749" s="113"/>
      <c r="AV749" s="113"/>
      <c r="AW749" s="113"/>
      <c r="AX749" s="113"/>
      <c r="AY749" s="113"/>
      <c r="AZ749" s="113"/>
      <c r="BA749" s="113"/>
      <c r="BB749" s="113"/>
      <c r="BC749" s="113"/>
      <c r="BD749" s="113"/>
      <c r="BE749" s="113"/>
      <c r="BF749" s="113"/>
      <c r="BG749" s="113"/>
      <c r="BH749" s="113"/>
      <c r="BI749" s="113"/>
      <c r="BJ749" s="113"/>
      <c r="BK749" s="113"/>
      <c r="BL749" s="113"/>
      <c r="BM749" s="113"/>
      <c r="BN749" s="113"/>
      <c r="BO749" s="113"/>
      <c r="BP749" s="113"/>
      <c r="BQ749" s="113"/>
      <c r="BR749" s="113"/>
      <c r="BS749" s="113"/>
      <c r="BT749" s="113"/>
      <c r="BU749" s="113"/>
      <c r="BV749" s="113"/>
      <c r="BW749" s="113"/>
      <c r="BX749" s="113"/>
      <c r="BY749" s="113"/>
      <c r="BZ749" s="113"/>
      <c r="CA749" s="113"/>
      <c r="CB749" s="113"/>
      <c r="CC749" s="113"/>
      <c r="CD749" s="113"/>
      <c r="CE749" s="113"/>
      <c r="CF749" s="113"/>
      <c r="CG749" s="113"/>
      <c r="CH749" s="113"/>
      <c r="CI749" s="113"/>
      <c r="CJ749" s="113"/>
      <c r="CK749" s="113"/>
    </row>
    <row r="750" spans="1:89" s="107" customFormat="1">
      <c r="A750" s="159"/>
      <c r="B750" s="129">
        <v>741</v>
      </c>
      <c r="C750" s="136" t="s">
        <v>449</v>
      </c>
      <c r="D750" s="122"/>
      <c r="E750" s="207"/>
      <c r="F750" s="208"/>
      <c r="G750" s="208"/>
      <c r="H750" s="208"/>
      <c r="I750" s="206"/>
      <c r="J750" s="147">
        <f t="shared" ref="J750:J761" si="189">F750*G750</f>
        <v>0</v>
      </c>
      <c r="K750" s="147">
        <f t="shared" ref="K750:K761" si="190">F750*H750</f>
        <v>0</v>
      </c>
      <c r="L750" s="147">
        <f t="shared" ref="L750:L761" si="191">F750*I750</f>
        <v>0</v>
      </c>
      <c r="M750" s="147">
        <f t="shared" ref="M750:M761" si="192">J750+K750+L750</f>
        <v>0</v>
      </c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  <c r="AA750" s="108"/>
      <c r="AB750" s="108"/>
      <c r="AC750" s="108"/>
      <c r="AD750" s="108"/>
      <c r="AE750" s="108"/>
      <c r="AF750" s="108"/>
      <c r="AG750" s="108"/>
      <c r="AH750" s="108"/>
      <c r="AI750" s="108"/>
      <c r="AJ750" s="108"/>
      <c r="AK750" s="108"/>
      <c r="AL750" s="108"/>
      <c r="AM750" s="108"/>
      <c r="AN750" s="108"/>
      <c r="AO750" s="108"/>
      <c r="AP750" s="108"/>
      <c r="AQ750" s="108"/>
      <c r="AR750" s="108"/>
      <c r="AS750" s="108"/>
      <c r="AT750" s="108"/>
      <c r="AU750" s="108"/>
      <c r="AV750" s="108"/>
      <c r="AW750" s="108"/>
      <c r="AX750" s="108"/>
      <c r="AY750" s="108"/>
      <c r="AZ750" s="108"/>
      <c r="BA750" s="108"/>
      <c r="BB750" s="108"/>
      <c r="BC750" s="108"/>
      <c r="BD750" s="108"/>
      <c r="BE750" s="108"/>
      <c r="BF750" s="108"/>
      <c r="BG750" s="108"/>
      <c r="BH750" s="108"/>
      <c r="BI750" s="108"/>
      <c r="BJ750" s="108"/>
      <c r="BK750" s="108"/>
      <c r="BL750" s="108"/>
      <c r="BM750" s="108"/>
      <c r="BN750" s="108"/>
      <c r="BO750" s="108"/>
      <c r="BP750" s="108"/>
      <c r="BQ750" s="108"/>
      <c r="BR750" s="108"/>
      <c r="BS750" s="108"/>
      <c r="BT750" s="108"/>
      <c r="BU750" s="108"/>
      <c r="BV750" s="108"/>
      <c r="BW750" s="108"/>
      <c r="BX750" s="108"/>
      <c r="BY750" s="108"/>
      <c r="BZ750" s="108"/>
      <c r="CA750" s="108"/>
      <c r="CB750" s="108"/>
      <c r="CC750" s="108"/>
      <c r="CD750" s="108"/>
      <c r="CE750" s="108"/>
      <c r="CF750" s="108"/>
      <c r="CG750" s="108"/>
      <c r="CH750" s="108"/>
      <c r="CI750" s="108"/>
      <c r="CJ750" s="108"/>
      <c r="CK750" s="108"/>
    </row>
    <row r="751" spans="1:89">
      <c r="A751" s="160"/>
      <c r="B751" s="129">
        <v>742</v>
      </c>
      <c r="C751" s="109" t="s">
        <v>218</v>
      </c>
      <c r="D751" s="123" t="s">
        <v>220</v>
      </c>
      <c r="E751" s="204">
        <v>7</v>
      </c>
      <c r="F751" s="147">
        <v>7</v>
      </c>
      <c r="G751" s="147">
        <v>23</v>
      </c>
      <c r="H751" s="147"/>
      <c r="I751" s="205">
        <f t="shared" si="176"/>
        <v>2.3000000000000003</v>
      </c>
      <c r="J751" s="147">
        <f t="shared" si="189"/>
        <v>161</v>
      </c>
      <c r="K751" s="147">
        <f t="shared" si="190"/>
        <v>0</v>
      </c>
      <c r="L751" s="147">
        <f t="shared" si="191"/>
        <v>16.100000000000001</v>
      </c>
      <c r="M751" s="147">
        <f t="shared" si="192"/>
        <v>177.1</v>
      </c>
      <c r="CD751" s="104"/>
      <c r="CE751" s="104"/>
      <c r="CF751" s="104"/>
      <c r="CG751" s="104"/>
      <c r="CH751" s="104"/>
      <c r="CI751" s="104"/>
      <c r="CJ751" s="104"/>
      <c r="CK751" s="104"/>
    </row>
    <row r="752" spans="1:89" s="112" customFormat="1">
      <c r="A752" s="162"/>
      <c r="B752" s="129">
        <v>743</v>
      </c>
      <c r="C752" s="106" t="s">
        <v>222</v>
      </c>
      <c r="D752" s="124" t="s">
        <v>114</v>
      </c>
      <c r="E752" s="210">
        <v>50</v>
      </c>
      <c r="F752" s="205">
        <v>50</v>
      </c>
      <c r="G752" s="205"/>
      <c r="H752" s="205">
        <v>1.5</v>
      </c>
      <c r="I752" s="205">
        <f t="shared" si="176"/>
        <v>4.4999999999999998E-2</v>
      </c>
      <c r="J752" s="147">
        <f t="shared" si="189"/>
        <v>0</v>
      </c>
      <c r="K752" s="147">
        <f t="shared" si="190"/>
        <v>75</v>
      </c>
      <c r="L752" s="147">
        <f t="shared" si="191"/>
        <v>2.25</v>
      </c>
      <c r="M752" s="147">
        <f t="shared" si="192"/>
        <v>77.25</v>
      </c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  <c r="AA752" s="113"/>
      <c r="AB752" s="113"/>
      <c r="AC752" s="113"/>
      <c r="AD752" s="113"/>
      <c r="AE752" s="113"/>
      <c r="AF752" s="113"/>
      <c r="AG752" s="113"/>
      <c r="AH752" s="113"/>
      <c r="AI752" s="113"/>
      <c r="AJ752" s="113"/>
      <c r="AK752" s="113"/>
      <c r="AL752" s="113"/>
      <c r="AM752" s="113"/>
      <c r="AN752" s="113"/>
      <c r="AO752" s="113"/>
      <c r="AP752" s="113"/>
      <c r="AQ752" s="113"/>
      <c r="AR752" s="113"/>
      <c r="AS752" s="113"/>
      <c r="AT752" s="113"/>
      <c r="AU752" s="113"/>
      <c r="AV752" s="113"/>
      <c r="AW752" s="113"/>
      <c r="AX752" s="113"/>
      <c r="AY752" s="113"/>
      <c r="AZ752" s="113"/>
      <c r="BA752" s="113"/>
      <c r="BB752" s="113"/>
      <c r="BC752" s="113"/>
      <c r="BD752" s="113"/>
      <c r="BE752" s="113"/>
      <c r="BF752" s="113"/>
      <c r="BG752" s="113"/>
      <c r="BH752" s="113"/>
      <c r="BI752" s="113"/>
      <c r="BJ752" s="113"/>
      <c r="BK752" s="113"/>
      <c r="BL752" s="113"/>
      <c r="BM752" s="113"/>
      <c r="BN752" s="113"/>
      <c r="BO752" s="113"/>
      <c r="BP752" s="113"/>
      <c r="BQ752" s="113"/>
      <c r="BR752" s="113"/>
      <c r="BS752" s="113"/>
      <c r="BT752" s="113"/>
      <c r="BU752" s="113"/>
      <c r="BV752" s="113"/>
      <c r="BW752" s="113"/>
      <c r="BX752" s="113"/>
      <c r="BY752" s="113"/>
      <c r="BZ752" s="113"/>
      <c r="CA752" s="113"/>
      <c r="CB752" s="113"/>
      <c r="CC752" s="113"/>
      <c r="CD752" s="113"/>
      <c r="CE752" s="113"/>
      <c r="CF752" s="113"/>
      <c r="CG752" s="113"/>
      <c r="CH752" s="113"/>
      <c r="CI752" s="113"/>
      <c r="CJ752" s="113"/>
      <c r="CK752" s="113"/>
    </row>
    <row r="753" spans="1:89">
      <c r="A753" s="160"/>
      <c r="B753" s="129">
        <v>744</v>
      </c>
      <c r="C753" s="109" t="s">
        <v>219</v>
      </c>
      <c r="D753" s="123" t="s">
        <v>220</v>
      </c>
      <c r="E753" s="204">
        <v>6</v>
      </c>
      <c r="F753" s="147">
        <v>6</v>
      </c>
      <c r="G753" s="147">
        <v>23</v>
      </c>
      <c r="H753" s="147"/>
      <c r="I753" s="205">
        <f t="shared" si="176"/>
        <v>2.3000000000000003</v>
      </c>
      <c r="J753" s="147">
        <f t="shared" si="189"/>
        <v>138</v>
      </c>
      <c r="K753" s="147">
        <f t="shared" si="190"/>
        <v>0</v>
      </c>
      <c r="L753" s="147">
        <f t="shared" si="191"/>
        <v>13.8</v>
      </c>
      <c r="M753" s="147">
        <f t="shared" si="192"/>
        <v>151.80000000000001</v>
      </c>
      <c r="CD753" s="104"/>
      <c r="CE753" s="104"/>
      <c r="CF753" s="104"/>
      <c r="CG753" s="104"/>
      <c r="CH753" s="104"/>
      <c r="CI753" s="104"/>
      <c r="CJ753" s="104"/>
      <c r="CK753" s="104"/>
    </row>
    <row r="754" spans="1:89" s="112" customFormat="1">
      <c r="A754" s="162"/>
      <c r="B754" s="129">
        <v>745</v>
      </c>
      <c r="C754" s="106" t="s">
        <v>222</v>
      </c>
      <c r="D754" s="124" t="s">
        <v>114</v>
      </c>
      <c r="E754" s="210">
        <v>31</v>
      </c>
      <c r="F754" s="205">
        <v>31</v>
      </c>
      <c r="G754" s="205"/>
      <c r="H754" s="205">
        <v>1.5</v>
      </c>
      <c r="I754" s="205">
        <f t="shared" si="176"/>
        <v>4.4999999999999998E-2</v>
      </c>
      <c r="J754" s="147">
        <f t="shared" si="189"/>
        <v>0</v>
      </c>
      <c r="K754" s="147">
        <f t="shared" si="190"/>
        <v>46.5</v>
      </c>
      <c r="L754" s="147">
        <f t="shared" si="191"/>
        <v>1.395</v>
      </c>
      <c r="M754" s="147">
        <f t="shared" si="192"/>
        <v>47.895000000000003</v>
      </c>
      <c r="O754" s="113"/>
      <c r="P754" s="113"/>
      <c r="Q754" s="113"/>
      <c r="R754" s="113"/>
      <c r="S754" s="113"/>
      <c r="T754" s="113"/>
      <c r="U754" s="113"/>
      <c r="V754" s="113"/>
      <c r="W754" s="113"/>
      <c r="X754" s="113"/>
      <c r="Y754" s="113"/>
      <c r="Z754" s="113"/>
      <c r="AA754" s="113"/>
      <c r="AB754" s="113"/>
      <c r="AC754" s="113"/>
      <c r="AD754" s="113"/>
      <c r="AE754" s="113"/>
      <c r="AF754" s="113"/>
      <c r="AG754" s="113"/>
      <c r="AH754" s="113"/>
      <c r="AI754" s="113"/>
      <c r="AJ754" s="113"/>
      <c r="AK754" s="113"/>
      <c r="AL754" s="113"/>
      <c r="AM754" s="113"/>
      <c r="AN754" s="113"/>
      <c r="AO754" s="113"/>
      <c r="AP754" s="113"/>
      <c r="AQ754" s="113"/>
      <c r="AR754" s="113"/>
      <c r="AS754" s="113"/>
      <c r="AT754" s="113"/>
      <c r="AU754" s="113"/>
      <c r="AV754" s="113"/>
      <c r="AW754" s="113"/>
      <c r="AX754" s="113"/>
      <c r="AY754" s="113"/>
      <c r="AZ754" s="113"/>
      <c r="BA754" s="113"/>
      <c r="BB754" s="113"/>
      <c r="BC754" s="113"/>
      <c r="BD754" s="113"/>
      <c r="BE754" s="113"/>
      <c r="BF754" s="113"/>
      <c r="BG754" s="113"/>
      <c r="BH754" s="113"/>
      <c r="BI754" s="113"/>
      <c r="BJ754" s="113"/>
      <c r="BK754" s="113"/>
      <c r="BL754" s="113"/>
      <c r="BM754" s="113"/>
      <c r="BN754" s="113"/>
      <c r="BO754" s="113"/>
      <c r="BP754" s="113"/>
      <c r="BQ754" s="113"/>
      <c r="BR754" s="113"/>
      <c r="BS754" s="113"/>
      <c r="BT754" s="113"/>
      <c r="BU754" s="113"/>
      <c r="BV754" s="113"/>
      <c r="BW754" s="113"/>
      <c r="BX754" s="113"/>
      <c r="BY754" s="113"/>
      <c r="BZ754" s="113"/>
      <c r="CA754" s="113"/>
      <c r="CB754" s="113"/>
      <c r="CC754" s="113"/>
      <c r="CD754" s="113"/>
      <c r="CE754" s="113"/>
      <c r="CF754" s="113"/>
      <c r="CG754" s="113"/>
      <c r="CH754" s="113"/>
      <c r="CI754" s="113"/>
      <c r="CJ754" s="113"/>
      <c r="CK754" s="113"/>
    </row>
    <row r="755" spans="1:89" s="112" customFormat="1">
      <c r="A755" s="162"/>
      <c r="B755" s="129">
        <v>746</v>
      </c>
      <c r="C755" s="106" t="s">
        <v>234</v>
      </c>
      <c r="D755" s="124" t="s">
        <v>210</v>
      </c>
      <c r="E755" s="210">
        <v>1</v>
      </c>
      <c r="F755" s="205">
        <v>1</v>
      </c>
      <c r="G755" s="205"/>
      <c r="H755" s="205">
        <v>276.48</v>
      </c>
      <c r="I755" s="205">
        <f t="shared" si="176"/>
        <v>8.2943999999999996</v>
      </c>
      <c r="J755" s="147">
        <f t="shared" si="189"/>
        <v>0</v>
      </c>
      <c r="K755" s="147">
        <f t="shared" si="190"/>
        <v>276.48</v>
      </c>
      <c r="L755" s="147">
        <f t="shared" si="191"/>
        <v>8.2943999999999996</v>
      </c>
      <c r="M755" s="147">
        <f t="shared" si="192"/>
        <v>284.77440000000001</v>
      </c>
      <c r="O755" s="113"/>
      <c r="P755" s="113"/>
      <c r="Q755" s="113"/>
      <c r="R755" s="113"/>
      <c r="S755" s="113"/>
      <c r="T755" s="113"/>
      <c r="U755" s="113"/>
      <c r="V755" s="113"/>
      <c r="W755" s="113"/>
      <c r="X755" s="113"/>
      <c r="Y755" s="113"/>
      <c r="Z755" s="113"/>
      <c r="AA755" s="113"/>
      <c r="AB755" s="113"/>
      <c r="AC755" s="113"/>
      <c r="AD755" s="113"/>
      <c r="AE755" s="113"/>
      <c r="AF755" s="113"/>
      <c r="AG755" s="113"/>
      <c r="AH755" s="113"/>
      <c r="AI755" s="113"/>
      <c r="AJ755" s="113"/>
      <c r="AK755" s="113"/>
      <c r="AL755" s="113"/>
      <c r="AM755" s="113"/>
      <c r="AN755" s="113"/>
      <c r="AO755" s="113"/>
      <c r="AP755" s="113"/>
      <c r="AQ755" s="113"/>
      <c r="AR755" s="113"/>
      <c r="AS755" s="113"/>
      <c r="AT755" s="113"/>
      <c r="AU755" s="113"/>
      <c r="AV755" s="113"/>
      <c r="AW755" s="113"/>
      <c r="AX755" s="113"/>
      <c r="AY755" s="113"/>
      <c r="AZ755" s="113"/>
      <c r="BA755" s="113"/>
      <c r="BB755" s="113"/>
      <c r="BC755" s="113"/>
      <c r="BD755" s="113"/>
      <c r="BE755" s="113"/>
      <c r="BF755" s="113"/>
      <c r="BG755" s="113"/>
      <c r="BH755" s="113"/>
      <c r="BI755" s="113"/>
      <c r="BJ755" s="113"/>
      <c r="BK755" s="113"/>
      <c r="BL755" s="113"/>
      <c r="BM755" s="113"/>
      <c r="BN755" s="113"/>
      <c r="BO755" s="113"/>
      <c r="BP755" s="113"/>
      <c r="BQ755" s="113"/>
      <c r="BR755" s="113"/>
      <c r="BS755" s="113"/>
      <c r="BT755" s="113"/>
      <c r="BU755" s="113"/>
      <c r="BV755" s="113"/>
      <c r="BW755" s="113"/>
      <c r="BX755" s="113"/>
      <c r="BY755" s="113"/>
      <c r="BZ755" s="113"/>
      <c r="CA755" s="113"/>
      <c r="CB755" s="113"/>
      <c r="CC755" s="113"/>
      <c r="CD755" s="113"/>
      <c r="CE755" s="113"/>
      <c r="CF755" s="113"/>
      <c r="CG755" s="113"/>
      <c r="CH755" s="113"/>
      <c r="CI755" s="113"/>
      <c r="CJ755" s="113"/>
      <c r="CK755" s="113"/>
    </row>
    <row r="756" spans="1:89" s="112" customFormat="1">
      <c r="A756" s="162"/>
      <c r="B756" s="129">
        <v>747</v>
      </c>
      <c r="C756" s="106" t="s">
        <v>228</v>
      </c>
      <c r="D756" s="124" t="s">
        <v>83</v>
      </c>
      <c r="E756" s="210">
        <v>2</v>
      </c>
      <c r="F756" s="205">
        <v>2</v>
      </c>
      <c r="G756" s="205"/>
      <c r="H756" s="205">
        <v>54</v>
      </c>
      <c r="I756" s="205">
        <f t="shared" si="176"/>
        <v>1.6199999999999999</v>
      </c>
      <c r="J756" s="147">
        <f t="shared" si="189"/>
        <v>0</v>
      </c>
      <c r="K756" s="147">
        <f t="shared" si="190"/>
        <v>108</v>
      </c>
      <c r="L756" s="147">
        <f t="shared" si="191"/>
        <v>3.2399999999999998</v>
      </c>
      <c r="M756" s="147">
        <f t="shared" si="192"/>
        <v>111.24</v>
      </c>
      <c r="O756" s="113"/>
      <c r="P756" s="113"/>
      <c r="Q756" s="113"/>
      <c r="R756" s="113"/>
      <c r="S756" s="113"/>
      <c r="T756" s="113"/>
      <c r="U756" s="113"/>
      <c r="V756" s="113"/>
      <c r="W756" s="113"/>
      <c r="X756" s="113"/>
      <c r="Y756" s="113"/>
      <c r="Z756" s="113"/>
      <c r="AA756" s="113"/>
      <c r="AB756" s="113"/>
      <c r="AC756" s="113"/>
      <c r="AD756" s="113"/>
      <c r="AE756" s="113"/>
      <c r="AF756" s="113"/>
      <c r="AG756" s="113"/>
      <c r="AH756" s="113"/>
      <c r="AI756" s="113"/>
      <c r="AJ756" s="113"/>
      <c r="AK756" s="113"/>
      <c r="AL756" s="113"/>
      <c r="AM756" s="113"/>
      <c r="AN756" s="113"/>
      <c r="AO756" s="113"/>
      <c r="AP756" s="113"/>
      <c r="AQ756" s="113"/>
      <c r="AR756" s="113"/>
      <c r="AS756" s="113"/>
      <c r="AT756" s="113"/>
      <c r="AU756" s="113"/>
      <c r="AV756" s="113"/>
      <c r="AW756" s="113"/>
      <c r="AX756" s="113"/>
      <c r="AY756" s="113"/>
      <c r="AZ756" s="113"/>
      <c r="BA756" s="113"/>
      <c r="BB756" s="113"/>
      <c r="BC756" s="113"/>
      <c r="BD756" s="113"/>
      <c r="BE756" s="113"/>
      <c r="BF756" s="113"/>
      <c r="BG756" s="113"/>
      <c r="BH756" s="113"/>
      <c r="BI756" s="113"/>
      <c r="BJ756" s="113"/>
      <c r="BK756" s="113"/>
      <c r="BL756" s="113"/>
      <c r="BM756" s="113"/>
      <c r="BN756" s="113"/>
      <c r="BO756" s="113"/>
      <c r="BP756" s="113"/>
      <c r="BQ756" s="113"/>
      <c r="BR756" s="113"/>
      <c r="BS756" s="113"/>
      <c r="BT756" s="113"/>
      <c r="BU756" s="113"/>
      <c r="BV756" s="113"/>
      <c r="BW756" s="113"/>
      <c r="BX756" s="113"/>
      <c r="BY756" s="113"/>
      <c r="BZ756" s="113"/>
      <c r="CA756" s="113"/>
      <c r="CB756" s="113"/>
      <c r="CC756" s="113"/>
      <c r="CD756" s="113"/>
      <c r="CE756" s="113"/>
      <c r="CF756" s="113"/>
      <c r="CG756" s="113"/>
      <c r="CH756" s="113"/>
      <c r="CI756" s="113"/>
      <c r="CJ756" s="113"/>
      <c r="CK756" s="113"/>
    </row>
    <row r="757" spans="1:89" s="112" customFormat="1">
      <c r="A757" s="162"/>
      <c r="B757" s="129">
        <v>748</v>
      </c>
      <c r="C757" s="106" t="s">
        <v>229</v>
      </c>
      <c r="D757" s="124" t="s">
        <v>83</v>
      </c>
      <c r="E757" s="210">
        <v>2</v>
      </c>
      <c r="F757" s="205">
        <v>2</v>
      </c>
      <c r="G757" s="205"/>
      <c r="H757" s="205">
        <v>50</v>
      </c>
      <c r="I757" s="205">
        <f t="shared" si="176"/>
        <v>1.5</v>
      </c>
      <c r="J757" s="147">
        <f t="shared" si="189"/>
        <v>0</v>
      </c>
      <c r="K757" s="147">
        <f t="shared" si="190"/>
        <v>100</v>
      </c>
      <c r="L757" s="147">
        <f t="shared" si="191"/>
        <v>3</v>
      </c>
      <c r="M757" s="147">
        <f t="shared" si="192"/>
        <v>103</v>
      </c>
      <c r="O757" s="113"/>
      <c r="P757" s="113"/>
      <c r="Q757" s="113"/>
      <c r="R757" s="113"/>
      <c r="S757" s="113"/>
      <c r="T757" s="113"/>
      <c r="U757" s="113"/>
      <c r="V757" s="113"/>
      <c r="W757" s="113"/>
      <c r="X757" s="113"/>
      <c r="Y757" s="113"/>
      <c r="Z757" s="113"/>
      <c r="AA757" s="113"/>
      <c r="AB757" s="113"/>
      <c r="AC757" s="113"/>
      <c r="AD757" s="113"/>
      <c r="AE757" s="113"/>
      <c r="AF757" s="113"/>
      <c r="AG757" s="113"/>
      <c r="AH757" s="113"/>
      <c r="AI757" s="113"/>
      <c r="AJ757" s="113"/>
      <c r="AK757" s="113"/>
      <c r="AL757" s="113"/>
      <c r="AM757" s="113"/>
      <c r="AN757" s="113"/>
      <c r="AO757" s="113"/>
      <c r="AP757" s="113"/>
      <c r="AQ757" s="113"/>
      <c r="AR757" s="113"/>
      <c r="AS757" s="113"/>
      <c r="AT757" s="113"/>
      <c r="AU757" s="113"/>
      <c r="AV757" s="113"/>
      <c r="AW757" s="113"/>
      <c r="AX757" s="113"/>
      <c r="AY757" s="113"/>
      <c r="AZ757" s="113"/>
      <c r="BA757" s="113"/>
      <c r="BB757" s="113"/>
      <c r="BC757" s="113"/>
      <c r="BD757" s="113"/>
      <c r="BE757" s="113"/>
      <c r="BF757" s="113"/>
      <c r="BG757" s="113"/>
      <c r="BH757" s="113"/>
      <c r="BI757" s="113"/>
      <c r="BJ757" s="113"/>
      <c r="BK757" s="113"/>
      <c r="BL757" s="113"/>
      <c r="BM757" s="113"/>
      <c r="BN757" s="113"/>
      <c r="BO757" s="113"/>
      <c r="BP757" s="113"/>
      <c r="BQ757" s="113"/>
      <c r="BR757" s="113"/>
      <c r="BS757" s="113"/>
      <c r="BT757" s="113"/>
      <c r="BU757" s="113"/>
      <c r="BV757" s="113"/>
      <c r="BW757" s="113"/>
      <c r="BX757" s="113"/>
      <c r="BY757" s="113"/>
      <c r="BZ757" s="113"/>
      <c r="CA757" s="113"/>
      <c r="CB757" s="113"/>
      <c r="CC757" s="113"/>
      <c r="CD757" s="113"/>
      <c r="CE757" s="113"/>
      <c r="CF757" s="113"/>
      <c r="CG757" s="113"/>
      <c r="CH757" s="113"/>
      <c r="CI757" s="113"/>
      <c r="CJ757" s="113"/>
      <c r="CK757" s="113"/>
    </row>
    <row r="758" spans="1:89" s="112" customFormat="1">
      <c r="A758" s="162"/>
      <c r="B758" s="129">
        <v>749</v>
      </c>
      <c r="C758" s="106" t="s">
        <v>232</v>
      </c>
      <c r="D758" s="124" t="s">
        <v>83</v>
      </c>
      <c r="E758" s="210">
        <v>1</v>
      </c>
      <c r="F758" s="205">
        <v>1</v>
      </c>
      <c r="G758" s="205"/>
      <c r="H758" s="205">
        <v>97</v>
      </c>
      <c r="I758" s="205">
        <f t="shared" si="176"/>
        <v>2.9099999999999997</v>
      </c>
      <c r="J758" s="147">
        <f t="shared" si="189"/>
        <v>0</v>
      </c>
      <c r="K758" s="147">
        <f t="shared" si="190"/>
        <v>97</v>
      </c>
      <c r="L758" s="147">
        <f t="shared" si="191"/>
        <v>2.9099999999999997</v>
      </c>
      <c r="M758" s="147">
        <f t="shared" si="192"/>
        <v>99.91</v>
      </c>
      <c r="O758" s="113"/>
      <c r="P758" s="113"/>
      <c r="Q758" s="113"/>
      <c r="R758" s="113"/>
      <c r="S758" s="113"/>
      <c r="T758" s="113"/>
      <c r="U758" s="113"/>
      <c r="V758" s="113"/>
      <c r="W758" s="113"/>
      <c r="X758" s="113"/>
      <c r="Y758" s="113"/>
      <c r="Z758" s="113"/>
      <c r="AA758" s="113"/>
      <c r="AB758" s="113"/>
      <c r="AC758" s="113"/>
      <c r="AD758" s="113"/>
      <c r="AE758" s="113"/>
      <c r="AF758" s="113"/>
      <c r="AG758" s="113"/>
      <c r="AH758" s="113"/>
      <c r="AI758" s="113"/>
      <c r="AJ758" s="113"/>
      <c r="AK758" s="113"/>
      <c r="AL758" s="113"/>
      <c r="AM758" s="113"/>
      <c r="AN758" s="113"/>
      <c r="AO758" s="113"/>
      <c r="AP758" s="113"/>
      <c r="AQ758" s="113"/>
      <c r="AR758" s="113"/>
      <c r="AS758" s="113"/>
      <c r="AT758" s="113"/>
      <c r="AU758" s="113"/>
      <c r="AV758" s="113"/>
      <c r="AW758" s="113"/>
      <c r="AX758" s="113"/>
      <c r="AY758" s="113"/>
      <c r="AZ758" s="113"/>
      <c r="BA758" s="113"/>
      <c r="BB758" s="113"/>
      <c r="BC758" s="113"/>
      <c r="BD758" s="113"/>
      <c r="BE758" s="113"/>
      <c r="BF758" s="113"/>
      <c r="BG758" s="113"/>
      <c r="BH758" s="113"/>
      <c r="BI758" s="113"/>
      <c r="BJ758" s="113"/>
      <c r="BK758" s="113"/>
      <c r="BL758" s="113"/>
      <c r="BM758" s="113"/>
      <c r="BN758" s="113"/>
      <c r="BO758" s="113"/>
      <c r="BP758" s="113"/>
      <c r="BQ758" s="113"/>
      <c r="BR758" s="113"/>
      <c r="BS758" s="113"/>
      <c r="BT758" s="113"/>
      <c r="BU758" s="113"/>
      <c r="BV758" s="113"/>
      <c r="BW758" s="113"/>
      <c r="BX758" s="113"/>
      <c r="BY758" s="113"/>
      <c r="BZ758" s="113"/>
      <c r="CA758" s="113"/>
      <c r="CB758" s="113"/>
      <c r="CC758" s="113"/>
      <c r="CD758" s="113"/>
      <c r="CE758" s="113"/>
      <c r="CF758" s="113"/>
      <c r="CG758" s="113"/>
      <c r="CH758" s="113"/>
      <c r="CI758" s="113"/>
      <c r="CJ758" s="113"/>
      <c r="CK758" s="113"/>
    </row>
    <row r="759" spans="1:89" s="112" customFormat="1">
      <c r="A759" s="162"/>
      <c r="B759" s="129">
        <v>750</v>
      </c>
      <c r="C759" s="106" t="s">
        <v>233</v>
      </c>
      <c r="D759" s="124" t="s">
        <v>83</v>
      </c>
      <c r="E759" s="210">
        <v>1</v>
      </c>
      <c r="F759" s="205">
        <v>1</v>
      </c>
      <c r="G759" s="205"/>
      <c r="H759" s="205">
        <v>225.6</v>
      </c>
      <c r="I759" s="205">
        <f t="shared" si="176"/>
        <v>6.7679999999999998</v>
      </c>
      <c r="J759" s="147">
        <f t="shared" si="189"/>
        <v>0</v>
      </c>
      <c r="K759" s="147">
        <f t="shared" si="190"/>
        <v>225.6</v>
      </c>
      <c r="L759" s="147">
        <f t="shared" si="191"/>
        <v>6.7679999999999998</v>
      </c>
      <c r="M759" s="147">
        <f t="shared" si="192"/>
        <v>232.36799999999999</v>
      </c>
      <c r="O759" s="113"/>
      <c r="P759" s="113"/>
      <c r="Q759" s="113"/>
      <c r="R759" s="113"/>
      <c r="S759" s="113"/>
      <c r="T759" s="113"/>
      <c r="U759" s="113"/>
      <c r="V759" s="113"/>
      <c r="W759" s="113"/>
      <c r="X759" s="113"/>
      <c r="Y759" s="113"/>
      <c r="Z759" s="113"/>
      <c r="AA759" s="113"/>
      <c r="AB759" s="113"/>
      <c r="AC759" s="113"/>
      <c r="AD759" s="113"/>
      <c r="AE759" s="113"/>
      <c r="AF759" s="113"/>
      <c r="AG759" s="113"/>
      <c r="AH759" s="113"/>
      <c r="AI759" s="113"/>
      <c r="AJ759" s="113"/>
      <c r="AK759" s="113"/>
      <c r="AL759" s="113"/>
      <c r="AM759" s="113"/>
      <c r="AN759" s="113"/>
      <c r="AO759" s="113"/>
      <c r="AP759" s="113"/>
      <c r="AQ759" s="113"/>
      <c r="AR759" s="113"/>
      <c r="AS759" s="113"/>
      <c r="AT759" s="113"/>
      <c r="AU759" s="113"/>
      <c r="AV759" s="113"/>
      <c r="AW759" s="113"/>
      <c r="AX759" s="113"/>
      <c r="AY759" s="113"/>
      <c r="AZ759" s="113"/>
      <c r="BA759" s="113"/>
      <c r="BB759" s="113"/>
      <c r="BC759" s="113"/>
      <c r="BD759" s="113"/>
      <c r="BE759" s="113"/>
      <c r="BF759" s="113"/>
      <c r="BG759" s="113"/>
      <c r="BH759" s="113"/>
      <c r="BI759" s="113"/>
      <c r="BJ759" s="113"/>
      <c r="BK759" s="113"/>
      <c r="BL759" s="113"/>
      <c r="BM759" s="113"/>
      <c r="BN759" s="113"/>
      <c r="BO759" s="113"/>
      <c r="BP759" s="113"/>
      <c r="BQ759" s="113"/>
      <c r="BR759" s="113"/>
      <c r="BS759" s="113"/>
      <c r="BT759" s="113"/>
      <c r="BU759" s="113"/>
      <c r="BV759" s="113"/>
      <c r="BW759" s="113"/>
      <c r="BX759" s="113"/>
      <c r="BY759" s="113"/>
      <c r="BZ759" s="113"/>
      <c r="CA759" s="113"/>
      <c r="CB759" s="113"/>
      <c r="CC759" s="113"/>
      <c r="CD759" s="113"/>
      <c r="CE759" s="113"/>
      <c r="CF759" s="113"/>
      <c r="CG759" s="113"/>
      <c r="CH759" s="113"/>
      <c r="CI759" s="113"/>
      <c r="CJ759" s="113"/>
      <c r="CK759" s="113"/>
    </row>
    <row r="760" spans="1:89" s="112" customFormat="1">
      <c r="A760" s="162"/>
      <c r="B760" s="129">
        <v>751</v>
      </c>
      <c r="C760" s="106" t="s">
        <v>230</v>
      </c>
      <c r="D760" s="124" t="s">
        <v>83</v>
      </c>
      <c r="E760" s="210">
        <v>1</v>
      </c>
      <c r="F760" s="205">
        <v>1</v>
      </c>
      <c r="G760" s="205"/>
      <c r="H760" s="205">
        <v>315.99</v>
      </c>
      <c r="I760" s="205">
        <f t="shared" si="176"/>
        <v>9.4796999999999993</v>
      </c>
      <c r="J760" s="147">
        <f t="shared" si="189"/>
        <v>0</v>
      </c>
      <c r="K760" s="147">
        <f t="shared" si="190"/>
        <v>315.99</v>
      </c>
      <c r="L760" s="147">
        <f t="shared" si="191"/>
        <v>9.4796999999999993</v>
      </c>
      <c r="M760" s="147">
        <f t="shared" si="192"/>
        <v>325.46969999999999</v>
      </c>
      <c r="O760" s="113"/>
      <c r="P760" s="113"/>
      <c r="Q760" s="113"/>
      <c r="R760" s="113"/>
      <c r="S760" s="113"/>
      <c r="T760" s="113"/>
      <c r="U760" s="113"/>
      <c r="V760" s="113"/>
      <c r="W760" s="113"/>
      <c r="X760" s="113"/>
      <c r="Y760" s="113"/>
      <c r="Z760" s="113"/>
      <c r="AA760" s="113"/>
      <c r="AB760" s="113"/>
      <c r="AC760" s="113"/>
      <c r="AD760" s="113"/>
      <c r="AE760" s="113"/>
      <c r="AF760" s="113"/>
      <c r="AG760" s="113"/>
      <c r="AH760" s="113"/>
      <c r="AI760" s="113"/>
      <c r="AJ760" s="113"/>
      <c r="AK760" s="113"/>
      <c r="AL760" s="113"/>
      <c r="AM760" s="113"/>
      <c r="AN760" s="113"/>
      <c r="AO760" s="113"/>
      <c r="AP760" s="113"/>
      <c r="AQ760" s="113"/>
      <c r="AR760" s="113"/>
      <c r="AS760" s="113"/>
      <c r="AT760" s="113"/>
      <c r="AU760" s="113"/>
      <c r="AV760" s="113"/>
      <c r="AW760" s="113"/>
      <c r="AX760" s="113"/>
      <c r="AY760" s="113"/>
      <c r="AZ760" s="113"/>
      <c r="BA760" s="113"/>
      <c r="BB760" s="113"/>
      <c r="BC760" s="113"/>
      <c r="BD760" s="113"/>
      <c r="BE760" s="113"/>
      <c r="BF760" s="113"/>
      <c r="BG760" s="113"/>
      <c r="BH760" s="113"/>
      <c r="BI760" s="113"/>
      <c r="BJ760" s="113"/>
      <c r="BK760" s="113"/>
      <c r="BL760" s="113"/>
      <c r="BM760" s="113"/>
      <c r="BN760" s="113"/>
      <c r="BO760" s="113"/>
      <c r="BP760" s="113"/>
      <c r="BQ760" s="113"/>
      <c r="BR760" s="113"/>
      <c r="BS760" s="113"/>
      <c r="BT760" s="113"/>
      <c r="BU760" s="113"/>
      <c r="BV760" s="113"/>
      <c r="BW760" s="113"/>
      <c r="BX760" s="113"/>
      <c r="BY760" s="113"/>
      <c r="BZ760" s="113"/>
      <c r="CA760" s="113"/>
      <c r="CB760" s="113"/>
      <c r="CC760" s="113"/>
      <c r="CD760" s="113"/>
      <c r="CE760" s="113"/>
      <c r="CF760" s="113"/>
      <c r="CG760" s="113"/>
      <c r="CH760" s="113"/>
      <c r="CI760" s="113"/>
      <c r="CJ760" s="113"/>
      <c r="CK760" s="113"/>
    </row>
    <row r="761" spans="1:89" s="112" customFormat="1">
      <c r="A761" s="162"/>
      <c r="B761" s="129">
        <v>752</v>
      </c>
      <c r="C761" s="106" t="s">
        <v>231</v>
      </c>
      <c r="D761" s="124" t="s">
        <v>83</v>
      </c>
      <c r="E761" s="210">
        <v>1</v>
      </c>
      <c r="F761" s="205">
        <v>1</v>
      </c>
      <c r="G761" s="205"/>
      <c r="H761" s="205">
        <v>37</v>
      </c>
      <c r="I761" s="205">
        <f t="shared" si="176"/>
        <v>1.1099999999999999</v>
      </c>
      <c r="J761" s="147">
        <f t="shared" si="189"/>
        <v>0</v>
      </c>
      <c r="K761" s="147">
        <f t="shared" si="190"/>
        <v>37</v>
      </c>
      <c r="L761" s="147">
        <f t="shared" si="191"/>
        <v>1.1099999999999999</v>
      </c>
      <c r="M761" s="147">
        <f t="shared" si="192"/>
        <v>38.11</v>
      </c>
      <c r="O761" s="113"/>
      <c r="P761" s="113"/>
      <c r="Q761" s="113"/>
      <c r="R761" s="113"/>
      <c r="S761" s="113"/>
      <c r="T761" s="113"/>
      <c r="U761" s="113"/>
      <c r="V761" s="113"/>
      <c r="W761" s="113"/>
      <c r="X761" s="113"/>
      <c r="Y761" s="113"/>
      <c r="Z761" s="113"/>
      <c r="AA761" s="113"/>
      <c r="AB761" s="113"/>
      <c r="AC761" s="113"/>
      <c r="AD761" s="113"/>
      <c r="AE761" s="113"/>
      <c r="AF761" s="113"/>
      <c r="AG761" s="113"/>
      <c r="AH761" s="113"/>
      <c r="AI761" s="113"/>
      <c r="AJ761" s="113"/>
      <c r="AK761" s="113"/>
      <c r="AL761" s="113"/>
      <c r="AM761" s="113"/>
      <c r="AN761" s="113"/>
      <c r="AO761" s="113"/>
      <c r="AP761" s="113"/>
      <c r="AQ761" s="113"/>
      <c r="AR761" s="113"/>
      <c r="AS761" s="113"/>
      <c r="AT761" s="113"/>
      <c r="AU761" s="113"/>
      <c r="AV761" s="113"/>
      <c r="AW761" s="113"/>
      <c r="AX761" s="113"/>
      <c r="AY761" s="113"/>
      <c r="AZ761" s="113"/>
      <c r="BA761" s="113"/>
      <c r="BB761" s="113"/>
      <c r="BC761" s="113"/>
      <c r="BD761" s="113"/>
      <c r="BE761" s="113"/>
      <c r="BF761" s="113"/>
      <c r="BG761" s="113"/>
      <c r="BH761" s="113"/>
      <c r="BI761" s="113"/>
      <c r="BJ761" s="113"/>
      <c r="BK761" s="113"/>
      <c r="BL761" s="113"/>
      <c r="BM761" s="113"/>
      <c r="BN761" s="113"/>
      <c r="BO761" s="113"/>
      <c r="BP761" s="113"/>
      <c r="BQ761" s="113"/>
      <c r="BR761" s="113"/>
      <c r="BS761" s="113"/>
      <c r="BT761" s="113"/>
      <c r="BU761" s="113"/>
      <c r="BV761" s="113"/>
      <c r="BW761" s="113"/>
      <c r="BX761" s="113"/>
      <c r="BY761" s="113"/>
      <c r="BZ761" s="113"/>
      <c r="CA761" s="113"/>
      <c r="CB761" s="113"/>
      <c r="CC761" s="113"/>
      <c r="CD761" s="113"/>
      <c r="CE761" s="113"/>
      <c r="CF761" s="113"/>
      <c r="CG761" s="113"/>
      <c r="CH761" s="113"/>
      <c r="CI761" s="113"/>
      <c r="CJ761" s="113"/>
      <c r="CK761" s="113"/>
    </row>
    <row r="762" spans="1:89" s="107" customFormat="1">
      <c r="A762" s="159"/>
      <c r="B762" s="129">
        <v>753</v>
      </c>
      <c r="C762" s="136" t="s">
        <v>450</v>
      </c>
      <c r="D762" s="122"/>
      <c r="E762" s="207"/>
      <c r="F762" s="208"/>
      <c r="G762" s="208"/>
      <c r="H762" s="208"/>
      <c r="I762" s="206"/>
      <c r="J762" s="147">
        <f t="shared" ref="J762:J768" si="193">F762*G762</f>
        <v>0</v>
      </c>
      <c r="K762" s="147">
        <f t="shared" ref="K762:K768" si="194">F762*H762</f>
        <v>0</v>
      </c>
      <c r="L762" s="147">
        <f t="shared" ref="L762:L768" si="195">F762*I762</f>
        <v>0</v>
      </c>
      <c r="M762" s="147">
        <f t="shared" ref="M762:M768" si="196">J762+K762+L762</f>
        <v>0</v>
      </c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  <c r="AD762" s="108"/>
      <c r="AE762" s="108"/>
      <c r="AF762" s="108"/>
      <c r="AG762" s="108"/>
      <c r="AH762" s="108"/>
      <c r="AI762" s="108"/>
      <c r="AJ762" s="108"/>
      <c r="AK762" s="108"/>
      <c r="AL762" s="108"/>
      <c r="AM762" s="108"/>
      <c r="AN762" s="108"/>
      <c r="AO762" s="108"/>
      <c r="AP762" s="108"/>
      <c r="AQ762" s="108"/>
      <c r="AR762" s="108"/>
      <c r="AS762" s="108"/>
      <c r="AT762" s="108"/>
      <c r="AU762" s="108"/>
      <c r="AV762" s="108"/>
      <c r="AW762" s="108"/>
      <c r="AX762" s="108"/>
      <c r="AY762" s="108"/>
      <c r="AZ762" s="108"/>
      <c r="BA762" s="108"/>
      <c r="BB762" s="108"/>
      <c r="BC762" s="108"/>
      <c r="BD762" s="108"/>
      <c r="BE762" s="108"/>
      <c r="BF762" s="108"/>
      <c r="BG762" s="108"/>
      <c r="BH762" s="108"/>
      <c r="BI762" s="108"/>
      <c r="BJ762" s="108"/>
      <c r="BK762" s="108"/>
      <c r="BL762" s="108"/>
      <c r="BM762" s="108"/>
      <c r="BN762" s="108"/>
      <c r="BO762" s="108"/>
      <c r="BP762" s="108"/>
      <c r="BQ762" s="108"/>
      <c r="BR762" s="108"/>
      <c r="BS762" s="108"/>
      <c r="BT762" s="108"/>
      <c r="BU762" s="108"/>
      <c r="BV762" s="108"/>
      <c r="BW762" s="108"/>
      <c r="BX762" s="108"/>
      <c r="BY762" s="108"/>
      <c r="BZ762" s="108"/>
      <c r="CA762" s="108"/>
      <c r="CB762" s="108"/>
      <c r="CC762" s="108"/>
      <c r="CD762" s="108"/>
      <c r="CE762" s="108"/>
      <c r="CF762" s="108"/>
      <c r="CG762" s="108"/>
      <c r="CH762" s="108"/>
      <c r="CI762" s="108"/>
      <c r="CJ762" s="108"/>
      <c r="CK762" s="108"/>
    </row>
    <row r="763" spans="1:89">
      <c r="A763" s="160"/>
      <c r="B763" s="129">
        <v>754</v>
      </c>
      <c r="C763" s="109" t="s">
        <v>455</v>
      </c>
      <c r="D763" s="123" t="s">
        <v>6</v>
      </c>
      <c r="E763" s="204"/>
      <c r="F763" s="147">
        <f>SUM(F764:F766)</f>
        <v>35.700000000000003</v>
      </c>
      <c r="G763" s="147"/>
      <c r="H763" s="147"/>
      <c r="I763" s="205"/>
      <c r="J763" s="147">
        <f t="shared" si="193"/>
        <v>0</v>
      </c>
      <c r="K763" s="147">
        <f t="shared" si="194"/>
        <v>0</v>
      </c>
      <c r="L763" s="147">
        <f t="shared" si="195"/>
        <v>0</v>
      </c>
      <c r="M763" s="147">
        <f t="shared" si="196"/>
        <v>0</v>
      </c>
      <c r="CD763" s="104"/>
      <c r="CE763" s="104"/>
      <c r="CF763" s="104"/>
      <c r="CG763" s="104"/>
      <c r="CH763" s="104"/>
      <c r="CI763" s="104"/>
      <c r="CJ763" s="104"/>
      <c r="CK763" s="104"/>
    </row>
    <row r="764" spans="1:89">
      <c r="A764" s="160"/>
      <c r="B764" s="129">
        <v>755</v>
      </c>
      <c r="C764" s="155" t="s">
        <v>454</v>
      </c>
      <c r="D764" s="123" t="s">
        <v>6</v>
      </c>
      <c r="E764" s="204">
        <v>9</v>
      </c>
      <c r="F764" s="147">
        <v>9</v>
      </c>
      <c r="G764" s="147">
        <v>0.9</v>
      </c>
      <c r="H764" s="147">
        <v>8</v>
      </c>
      <c r="I764" s="205">
        <f>(G764*0.1)+(H764*0.03)</f>
        <v>0.33</v>
      </c>
      <c r="J764" s="147">
        <f t="shared" si="193"/>
        <v>8.1</v>
      </c>
      <c r="K764" s="147">
        <f t="shared" si="194"/>
        <v>72</v>
      </c>
      <c r="L764" s="147">
        <f t="shared" si="195"/>
        <v>2.97</v>
      </c>
      <c r="M764" s="147">
        <f t="shared" si="196"/>
        <v>83.07</v>
      </c>
      <c r="CD764" s="104"/>
      <c r="CE764" s="104"/>
      <c r="CF764" s="104"/>
      <c r="CG764" s="104"/>
      <c r="CH764" s="104"/>
      <c r="CI764" s="104"/>
      <c r="CJ764" s="104"/>
      <c r="CK764" s="104"/>
    </row>
    <row r="765" spans="1:89">
      <c r="A765" s="160"/>
      <c r="B765" s="129">
        <v>756</v>
      </c>
      <c r="C765" s="155" t="s">
        <v>166</v>
      </c>
      <c r="D765" s="123" t="s">
        <v>6</v>
      </c>
      <c r="E765" s="204">
        <v>22</v>
      </c>
      <c r="F765" s="147">
        <v>20.7</v>
      </c>
      <c r="G765" s="147">
        <v>0.9</v>
      </c>
      <c r="H765" s="147">
        <v>6</v>
      </c>
      <c r="I765" s="205">
        <f>(G765*0.1)+(H765*0.03)</f>
        <v>0.27</v>
      </c>
      <c r="J765" s="147">
        <f t="shared" si="193"/>
        <v>18.63</v>
      </c>
      <c r="K765" s="147">
        <f t="shared" si="194"/>
        <v>124.19999999999999</v>
      </c>
      <c r="L765" s="147">
        <f t="shared" si="195"/>
        <v>5.5890000000000004</v>
      </c>
      <c r="M765" s="147">
        <f t="shared" si="196"/>
        <v>148.41899999999998</v>
      </c>
      <c r="CD765" s="104"/>
      <c r="CE765" s="104"/>
      <c r="CF765" s="104"/>
      <c r="CG765" s="104"/>
      <c r="CH765" s="104"/>
      <c r="CI765" s="104"/>
      <c r="CJ765" s="104"/>
      <c r="CK765" s="104"/>
    </row>
    <row r="766" spans="1:89">
      <c r="A766" s="160"/>
      <c r="B766" s="129">
        <v>757</v>
      </c>
      <c r="C766" s="155" t="s">
        <v>168</v>
      </c>
      <c r="D766" s="123" t="s">
        <v>6</v>
      </c>
      <c r="E766" s="204">
        <v>6</v>
      </c>
      <c r="F766" s="147">
        <v>6</v>
      </c>
      <c r="G766" s="147">
        <v>0.9</v>
      </c>
      <c r="H766" s="147">
        <v>12</v>
      </c>
      <c r="I766" s="205">
        <f>(G766*0.1)+(H766*0.03)</f>
        <v>0.45</v>
      </c>
      <c r="J766" s="147">
        <f t="shared" si="193"/>
        <v>5.4</v>
      </c>
      <c r="K766" s="147">
        <f t="shared" si="194"/>
        <v>72</v>
      </c>
      <c r="L766" s="147">
        <f t="shared" si="195"/>
        <v>2.7</v>
      </c>
      <c r="M766" s="147">
        <f t="shared" si="196"/>
        <v>80.100000000000009</v>
      </c>
      <c r="CD766" s="104"/>
      <c r="CE766" s="104"/>
      <c r="CF766" s="104"/>
      <c r="CG766" s="104"/>
      <c r="CH766" s="104"/>
      <c r="CI766" s="104"/>
      <c r="CJ766" s="104"/>
      <c r="CK766" s="104"/>
    </row>
    <row r="767" spans="1:89">
      <c r="A767" s="160"/>
      <c r="B767" s="129">
        <v>758</v>
      </c>
      <c r="C767" s="155" t="s">
        <v>170</v>
      </c>
      <c r="D767" s="123" t="s">
        <v>176</v>
      </c>
      <c r="E767" s="204">
        <v>5</v>
      </c>
      <c r="F767" s="147">
        <v>6</v>
      </c>
      <c r="G767" s="147">
        <v>1.78</v>
      </c>
      <c r="H767" s="147">
        <v>51.73</v>
      </c>
      <c r="I767" s="205">
        <f>(G767*0.1)+(H767*0.03)</f>
        <v>1.7298999999999998</v>
      </c>
      <c r="J767" s="147">
        <f t="shared" si="193"/>
        <v>10.68</v>
      </c>
      <c r="K767" s="147">
        <f t="shared" si="194"/>
        <v>310.38</v>
      </c>
      <c r="L767" s="147">
        <f t="shared" si="195"/>
        <v>10.379399999999999</v>
      </c>
      <c r="M767" s="147">
        <f t="shared" si="196"/>
        <v>331.43939999999998</v>
      </c>
      <c r="CD767" s="104"/>
      <c r="CE767" s="104"/>
      <c r="CF767" s="104"/>
      <c r="CG767" s="104"/>
      <c r="CH767" s="104"/>
      <c r="CI767" s="104"/>
      <c r="CJ767" s="104"/>
      <c r="CK767" s="104"/>
    </row>
    <row r="768" spans="1:89">
      <c r="A768" s="160"/>
      <c r="B768" s="129">
        <v>759</v>
      </c>
      <c r="C768" s="155" t="s">
        <v>515</v>
      </c>
      <c r="D768" s="123" t="s">
        <v>6</v>
      </c>
      <c r="E768" s="204"/>
      <c r="F768" s="147">
        <v>33.75</v>
      </c>
      <c r="G768" s="147">
        <v>0.9</v>
      </c>
      <c r="H768" s="147">
        <v>12</v>
      </c>
      <c r="I768" s="205">
        <f>(G768*0.1)+(H768*0.03)</f>
        <v>0.45</v>
      </c>
      <c r="J768" s="147">
        <f t="shared" si="193"/>
        <v>30.375</v>
      </c>
      <c r="K768" s="147">
        <f t="shared" si="194"/>
        <v>405</v>
      </c>
      <c r="L768" s="147">
        <f t="shared" si="195"/>
        <v>15.1875</v>
      </c>
      <c r="M768" s="147">
        <f t="shared" si="196"/>
        <v>450.5625</v>
      </c>
      <c r="CD768" s="104"/>
      <c r="CE768" s="104"/>
      <c r="CF768" s="104"/>
      <c r="CG768" s="104"/>
      <c r="CH768" s="104"/>
      <c r="CI768" s="104"/>
      <c r="CJ768" s="104"/>
      <c r="CK768" s="104"/>
    </row>
    <row r="769" spans="1:89">
      <c r="A769" s="160"/>
      <c r="B769" s="129">
        <v>760</v>
      </c>
      <c r="C769" s="132" t="s">
        <v>451</v>
      </c>
      <c r="D769" s="123"/>
      <c r="E769" s="204"/>
      <c r="F769" s="147"/>
      <c r="G769" s="147"/>
      <c r="H769" s="147"/>
      <c r="I769" s="205"/>
      <c r="J769" s="147">
        <f t="shared" ref="J769:J775" si="197">F769*G769</f>
        <v>0</v>
      </c>
      <c r="K769" s="147">
        <f t="shared" ref="K769:K775" si="198">F769*H769</f>
        <v>0</v>
      </c>
      <c r="L769" s="147">
        <f t="shared" ref="L769:L775" si="199">F769*I769</f>
        <v>0</v>
      </c>
      <c r="M769" s="147">
        <f t="shared" ref="M769:M775" si="200">J769+K769+L769</f>
        <v>0</v>
      </c>
      <c r="CD769" s="104"/>
      <c r="CE769" s="104"/>
      <c r="CF769" s="104"/>
      <c r="CG769" s="104"/>
      <c r="CH769" s="104"/>
      <c r="CI769" s="104"/>
      <c r="CJ769" s="104"/>
      <c r="CK769" s="104"/>
    </row>
    <row r="770" spans="1:89" ht="24">
      <c r="A770" s="160"/>
      <c r="B770" s="129">
        <v>761</v>
      </c>
      <c r="C770" s="154" t="s">
        <v>453</v>
      </c>
      <c r="D770" s="123" t="s">
        <v>210</v>
      </c>
      <c r="E770" s="204">
        <v>1</v>
      </c>
      <c r="F770" s="147">
        <v>1</v>
      </c>
      <c r="G770" s="147">
        <v>613</v>
      </c>
      <c r="H770" s="147">
        <v>753</v>
      </c>
      <c r="I770" s="205">
        <f t="shared" si="176"/>
        <v>83.89</v>
      </c>
      <c r="J770" s="147">
        <f t="shared" si="197"/>
        <v>613</v>
      </c>
      <c r="K770" s="147">
        <f t="shared" si="198"/>
        <v>753</v>
      </c>
      <c r="L770" s="147">
        <f t="shared" si="199"/>
        <v>83.89</v>
      </c>
      <c r="M770" s="147">
        <f t="shared" si="200"/>
        <v>1449.89</v>
      </c>
      <c r="CD770" s="104"/>
      <c r="CE770" s="104"/>
      <c r="CF770" s="104"/>
      <c r="CG770" s="104"/>
      <c r="CH770" s="104"/>
      <c r="CI770" s="104"/>
      <c r="CJ770" s="104"/>
      <c r="CK770" s="104"/>
    </row>
    <row r="771" spans="1:89">
      <c r="A771" s="160"/>
      <c r="B771" s="129">
        <v>762</v>
      </c>
      <c r="C771" s="132" t="s">
        <v>237</v>
      </c>
      <c r="D771" s="123"/>
      <c r="E771" s="204"/>
      <c r="F771" s="147"/>
      <c r="G771" s="147"/>
      <c r="H771" s="147"/>
      <c r="I771" s="205"/>
      <c r="J771" s="147">
        <f t="shared" si="197"/>
        <v>0</v>
      </c>
      <c r="K771" s="147">
        <f t="shared" si="198"/>
        <v>0</v>
      </c>
      <c r="L771" s="147">
        <f t="shared" si="199"/>
        <v>0</v>
      </c>
      <c r="M771" s="147">
        <f t="shared" si="200"/>
        <v>0</v>
      </c>
      <c r="CD771" s="104"/>
      <c r="CE771" s="104"/>
      <c r="CF771" s="104"/>
      <c r="CG771" s="104"/>
      <c r="CH771" s="104"/>
      <c r="CI771" s="104"/>
      <c r="CJ771" s="104"/>
      <c r="CK771" s="104"/>
    </row>
    <row r="772" spans="1:89">
      <c r="A772" s="160"/>
      <c r="B772" s="129">
        <v>763</v>
      </c>
      <c r="C772" s="152" t="s">
        <v>452</v>
      </c>
      <c r="D772" s="123" t="s">
        <v>210</v>
      </c>
      <c r="E772" s="204">
        <v>1</v>
      </c>
      <c r="F772" s="147">
        <v>1</v>
      </c>
      <c r="G772" s="147">
        <v>612</v>
      </c>
      <c r="H772" s="147">
        <v>626.79999999999995</v>
      </c>
      <c r="I772" s="205">
        <f t="shared" si="176"/>
        <v>80.004000000000005</v>
      </c>
      <c r="J772" s="147">
        <f t="shared" si="197"/>
        <v>612</v>
      </c>
      <c r="K772" s="147">
        <f t="shared" si="198"/>
        <v>626.79999999999995</v>
      </c>
      <c r="L772" s="147">
        <f t="shared" si="199"/>
        <v>80.004000000000005</v>
      </c>
      <c r="M772" s="147">
        <f t="shared" si="200"/>
        <v>1318.8039999999999</v>
      </c>
      <c r="CD772" s="104"/>
      <c r="CE772" s="104"/>
      <c r="CF772" s="104"/>
      <c r="CG772" s="104"/>
      <c r="CH772" s="104"/>
      <c r="CI772" s="104"/>
      <c r="CJ772" s="104"/>
      <c r="CK772" s="104"/>
    </row>
    <row r="773" spans="1:89" s="107" customFormat="1">
      <c r="A773" s="159"/>
      <c r="B773" s="129">
        <v>764</v>
      </c>
      <c r="C773" s="132" t="s">
        <v>217</v>
      </c>
      <c r="D773" s="123" t="s">
        <v>215</v>
      </c>
      <c r="E773" s="204">
        <v>50</v>
      </c>
      <c r="F773" s="147">
        <v>50</v>
      </c>
      <c r="G773" s="147"/>
      <c r="H773" s="147">
        <v>21.5</v>
      </c>
      <c r="I773" s="208"/>
      <c r="J773" s="147">
        <f t="shared" si="197"/>
        <v>0</v>
      </c>
      <c r="K773" s="147">
        <f t="shared" si="198"/>
        <v>1075</v>
      </c>
      <c r="L773" s="147">
        <f t="shared" si="199"/>
        <v>0</v>
      </c>
      <c r="M773" s="147">
        <f t="shared" si="200"/>
        <v>1075</v>
      </c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  <c r="AA773" s="108"/>
      <c r="AB773" s="108"/>
      <c r="AC773" s="108"/>
      <c r="AD773" s="108"/>
      <c r="AE773" s="108"/>
      <c r="AF773" s="108"/>
      <c r="AG773" s="108"/>
      <c r="AH773" s="108"/>
      <c r="AI773" s="108"/>
      <c r="AJ773" s="108"/>
      <c r="AK773" s="108"/>
      <c r="AL773" s="108"/>
      <c r="AM773" s="108"/>
      <c r="AN773" s="108"/>
      <c r="AO773" s="108"/>
      <c r="AP773" s="108"/>
      <c r="AQ773" s="108"/>
      <c r="AR773" s="108"/>
      <c r="AS773" s="108"/>
      <c r="AT773" s="108"/>
      <c r="AU773" s="108"/>
      <c r="AV773" s="108"/>
      <c r="AW773" s="108"/>
      <c r="AX773" s="108"/>
      <c r="AY773" s="108"/>
      <c r="AZ773" s="108"/>
      <c r="BA773" s="108"/>
      <c r="BB773" s="108"/>
      <c r="BC773" s="108"/>
      <c r="BD773" s="108"/>
      <c r="BE773" s="108"/>
      <c r="BF773" s="108"/>
      <c r="BG773" s="108"/>
      <c r="BH773" s="108"/>
      <c r="BI773" s="108"/>
      <c r="BJ773" s="108"/>
      <c r="BK773" s="108"/>
      <c r="BL773" s="108"/>
      <c r="BM773" s="108"/>
      <c r="BN773" s="108"/>
      <c r="BO773" s="108"/>
      <c r="BP773" s="108"/>
      <c r="BQ773" s="108"/>
      <c r="BR773" s="108"/>
      <c r="BS773" s="108"/>
      <c r="BT773" s="108"/>
      <c r="BU773" s="108"/>
      <c r="BV773" s="108"/>
      <c r="BW773" s="108"/>
      <c r="BX773" s="108"/>
      <c r="BY773" s="108"/>
      <c r="BZ773" s="108"/>
      <c r="CA773" s="108"/>
      <c r="CB773" s="108"/>
      <c r="CC773" s="108"/>
      <c r="CD773" s="108"/>
      <c r="CE773" s="108"/>
      <c r="CF773" s="108"/>
      <c r="CG773" s="108"/>
      <c r="CH773" s="108"/>
      <c r="CI773" s="108"/>
      <c r="CJ773" s="108"/>
      <c r="CK773" s="108"/>
    </row>
    <row r="774" spans="1:89">
      <c r="A774" s="165"/>
      <c r="B774" s="129">
        <v>765</v>
      </c>
      <c r="C774" s="186" t="s">
        <v>487</v>
      </c>
      <c r="D774" s="151" t="s">
        <v>210</v>
      </c>
      <c r="E774" s="212">
        <v>2</v>
      </c>
      <c r="F774" s="213">
        <v>2</v>
      </c>
      <c r="G774" s="213"/>
      <c r="H774" s="213">
        <v>693</v>
      </c>
      <c r="I774" s="213"/>
      <c r="J774" s="147">
        <f t="shared" si="197"/>
        <v>0</v>
      </c>
      <c r="K774" s="147">
        <f t="shared" si="198"/>
        <v>1386</v>
      </c>
      <c r="L774" s="147">
        <f t="shared" si="199"/>
        <v>0</v>
      </c>
      <c r="M774" s="147">
        <f t="shared" si="200"/>
        <v>1386</v>
      </c>
      <c r="CD774" s="104"/>
      <c r="CE774" s="104"/>
      <c r="CF774" s="104"/>
      <c r="CG774" s="104"/>
      <c r="CH774" s="104"/>
      <c r="CI774" s="104"/>
      <c r="CJ774" s="104"/>
      <c r="CK774" s="104"/>
    </row>
    <row r="775" spans="1:89" s="101" customFormat="1" ht="13" thickBot="1">
      <c r="B775" s="129">
        <v>766</v>
      </c>
      <c r="C775" s="152" t="s">
        <v>162</v>
      </c>
      <c r="D775" s="123" t="s">
        <v>163</v>
      </c>
      <c r="E775" s="204">
        <v>6</v>
      </c>
      <c r="F775" s="147">
        <v>16</v>
      </c>
      <c r="G775" s="147">
        <v>8</v>
      </c>
      <c r="H775" s="147">
        <v>28.4</v>
      </c>
      <c r="I775" s="147"/>
      <c r="J775" s="147">
        <f t="shared" si="197"/>
        <v>128</v>
      </c>
      <c r="K775" s="147">
        <f t="shared" si="198"/>
        <v>454.4</v>
      </c>
      <c r="L775" s="147">
        <f t="shared" si="199"/>
        <v>0</v>
      </c>
      <c r="M775" s="147">
        <f t="shared" si="200"/>
        <v>582.4</v>
      </c>
      <c r="N775" s="160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  <c r="AT775" s="104"/>
      <c r="AU775" s="104"/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K775" s="104"/>
      <c r="BL775" s="104"/>
      <c r="BM775" s="104"/>
      <c r="BN775" s="104"/>
      <c r="BO775" s="104"/>
      <c r="BP775" s="104"/>
      <c r="BQ775" s="104"/>
      <c r="BR775" s="104"/>
      <c r="BS775" s="104"/>
      <c r="BT775" s="104"/>
      <c r="BU775" s="104"/>
      <c r="BV775" s="104"/>
      <c r="BW775" s="104"/>
      <c r="BX775" s="104"/>
      <c r="BY775" s="104"/>
      <c r="BZ775" s="104"/>
      <c r="CA775" s="104"/>
      <c r="CB775" s="104"/>
      <c r="CC775" s="104"/>
      <c r="CD775" s="104"/>
      <c r="CE775" s="104"/>
      <c r="CF775" s="104"/>
      <c r="CG775" s="104"/>
      <c r="CH775" s="104"/>
      <c r="CI775" s="104"/>
      <c r="CJ775" s="104"/>
      <c r="CK775" s="104"/>
    </row>
    <row r="776" spans="1:89" s="108" customFormat="1" ht="13" thickBot="1">
      <c r="A776" s="183"/>
      <c r="B776" s="192"/>
      <c r="C776" s="193" t="s">
        <v>488</v>
      </c>
      <c r="D776" s="203"/>
      <c r="E776" s="203"/>
      <c r="F776" s="203"/>
      <c r="G776" s="203"/>
      <c r="H776" s="203"/>
      <c r="I776" s="203"/>
      <c r="J776" s="200">
        <f>SUM(J10:J775)</f>
        <v>19311.528950999993</v>
      </c>
      <c r="K776" s="200">
        <f>SUM(K10:K775)</f>
        <v>41829.475785723946</v>
      </c>
      <c r="L776" s="200">
        <f>SUM(L10:L775)</f>
        <v>5343.516237551723</v>
      </c>
      <c r="M776" s="214">
        <f>SUM(M10:M775)</f>
        <v>66484.520974275641</v>
      </c>
    </row>
    <row r="777" spans="1:89" s="99" customFormat="1">
      <c r="A777" s="184">
        <v>63</v>
      </c>
      <c r="B777" s="190"/>
      <c r="C777" s="191" t="s">
        <v>204</v>
      </c>
      <c r="D777" s="215"/>
      <c r="E777" s="215"/>
      <c r="F777" s="215"/>
      <c r="G777" s="215"/>
      <c r="H777" s="215"/>
      <c r="I777" s="215"/>
      <c r="J777" s="201"/>
      <c r="K777" s="201"/>
      <c r="L777" s="201"/>
      <c r="M777" s="216">
        <f>M776*0.04</f>
        <v>2659.3808389710257</v>
      </c>
    </row>
    <row r="778" spans="1:89" s="99" customFormat="1" ht="13" thickBot="1">
      <c r="A778" s="185"/>
      <c r="B778" s="194"/>
      <c r="C778" s="195" t="s">
        <v>202</v>
      </c>
      <c r="D778" s="202"/>
      <c r="E778" s="202"/>
      <c r="F778" s="202"/>
      <c r="G778" s="202"/>
      <c r="H778" s="202"/>
      <c r="I778" s="202"/>
      <c r="J778" s="202"/>
      <c r="K778" s="202"/>
      <c r="L778" s="202"/>
      <c r="M778" s="217">
        <f>(M776+M777)*0.07</f>
        <v>4840.0731269272674</v>
      </c>
    </row>
    <row r="779" spans="1:89" s="108" customFormat="1" ht="13" thickBot="1">
      <c r="A779" s="187"/>
      <c r="B779" s="196"/>
      <c r="C779" s="193" t="s">
        <v>205</v>
      </c>
      <c r="D779" s="203"/>
      <c r="E779" s="203"/>
      <c r="F779" s="203"/>
      <c r="G779" s="203"/>
      <c r="H779" s="203"/>
      <c r="I779" s="203"/>
      <c r="J779" s="203"/>
      <c r="K779" s="203"/>
      <c r="L779" s="203"/>
      <c r="M779" s="214">
        <f>SUM(M776:M778)</f>
        <v>73983.974940173939</v>
      </c>
    </row>
    <row r="780" spans="1:89" s="104" customFormat="1">
      <c r="D780" s="148"/>
      <c r="E780" s="100"/>
      <c r="F780" s="100"/>
      <c r="G780" s="100"/>
      <c r="H780" s="148"/>
      <c r="I780" s="100"/>
      <c r="J780" s="100"/>
      <c r="K780" s="100"/>
      <c r="L780" s="100"/>
      <c r="M780" s="100"/>
    </row>
    <row r="781" spans="1:89" s="104" customFormat="1">
      <c r="D781" s="148"/>
      <c r="E781" s="100"/>
      <c r="F781" s="100"/>
      <c r="G781" s="100"/>
      <c r="H781" s="148"/>
      <c r="I781" s="100"/>
      <c r="J781" s="100"/>
      <c r="K781" s="100"/>
      <c r="L781" s="100"/>
      <c r="M781" s="100"/>
    </row>
    <row r="782" spans="1:89" s="104" customFormat="1">
      <c r="D782" s="148"/>
      <c r="E782" s="100"/>
      <c r="F782" s="100"/>
      <c r="G782" s="100"/>
      <c r="H782" s="148"/>
      <c r="I782" s="100"/>
      <c r="J782" s="100"/>
      <c r="K782" s="100"/>
      <c r="L782" s="100"/>
      <c r="M782" s="100"/>
    </row>
    <row r="783" spans="1:89" s="104" customFormat="1">
      <c r="D783" s="148"/>
      <c r="E783" s="100"/>
      <c r="F783" s="100"/>
      <c r="G783" s="100"/>
      <c r="H783" s="148"/>
      <c r="I783" s="100"/>
      <c r="J783" s="100"/>
      <c r="K783" s="100"/>
      <c r="L783" s="100"/>
      <c r="M783" s="100"/>
    </row>
    <row r="784" spans="1:89" s="104" customFormat="1">
      <c r="D784" s="148"/>
      <c r="E784" s="100"/>
      <c r="F784" s="100"/>
      <c r="G784" s="100"/>
      <c r="H784" s="148"/>
      <c r="I784" s="100"/>
      <c r="J784" s="100"/>
      <c r="K784" s="100"/>
      <c r="L784" s="100"/>
      <c r="M784" s="100"/>
    </row>
    <row r="785" spans="4:13" s="104" customFormat="1">
      <c r="D785" s="148"/>
      <c r="E785" s="100"/>
      <c r="F785" s="100"/>
      <c r="G785" s="100"/>
      <c r="H785" s="148"/>
      <c r="I785" s="100"/>
      <c r="J785" s="100"/>
      <c r="K785" s="100"/>
      <c r="L785" s="100"/>
      <c r="M785" s="100"/>
    </row>
    <row r="786" spans="4:13" s="104" customFormat="1">
      <c r="D786" s="148"/>
      <c r="E786" s="100"/>
      <c r="F786" s="100"/>
      <c r="G786" s="100"/>
      <c r="H786" s="148"/>
      <c r="I786" s="100"/>
      <c r="J786" s="100"/>
      <c r="K786" s="100"/>
      <c r="L786" s="100"/>
      <c r="M786" s="100"/>
    </row>
    <row r="787" spans="4:13" s="104" customFormat="1">
      <c r="D787" s="148"/>
      <c r="E787" s="100"/>
      <c r="F787" s="100"/>
      <c r="G787" s="100"/>
      <c r="H787" s="148"/>
      <c r="I787" s="100"/>
      <c r="J787" s="100"/>
      <c r="K787" s="100"/>
      <c r="L787" s="100"/>
      <c r="M787" s="100"/>
    </row>
    <row r="788" spans="4:13" s="104" customFormat="1">
      <c r="D788" s="148"/>
      <c r="E788" s="100"/>
      <c r="F788" s="100"/>
      <c r="G788" s="100"/>
      <c r="H788" s="148"/>
      <c r="I788" s="100"/>
      <c r="J788" s="100"/>
      <c r="K788" s="100"/>
      <c r="L788" s="100"/>
      <c r="M788" s="100"/>
    </row>
    <row r="789" spans="4:13" s="104" customFormat="1">
      <c r="D789" s="148"/>
      <c r="E789" s="100"/>
      <c r="F789" s="100"/>
      <c r="G789" s="100"/>
      <c r="H789" s="148"/>
      <c r="I789" s="100"/>
      <c r="J789" s="100"/>
      <c r="K789" s="100"/>
      <c r="L789" s="100"/>
      <c r="M789" s="100"/>
    </row>
    <row r="790" spans="4:13" s="104" customFormat="1">
      <c r="D790" s="148"/>
      <c r="E790" s="100"/>
      <c r="F790" s="100"/>
      <c r="G790" s="100"/>
      <c r="H790" s="148"/>
      <c r="I790" s="100"/>
      <c r="J790" s="100"/>
      <c r="K790" s="100"/>
      <c r="L790" s="100"/>
      <c r="M790" s="100"/>
    </row>
    <row r="791" spans="4:13" s="104" customFormat="1">
      <c r="D791" s="148"/>
      <c r="E791" s="100"/>
      <c r="F791" s="100"/>
      <c r="G791" s="100"/>
      <c r="H791" s="148"/>
      <c r="I791" s="100"/>
      <c r="J791" s="100"/>
      <c r="K791" s="100"/>
      <c r="L791" s="100"/>
      <c r="M791" s="100"/>
    </row>
    <row r="792" spans="4:13" s="104" customFormat="1">
      <c r="D792" s="148"/>
      <c r="E792" s="100"/>
      <c r="F792" s="100"/>
      <c r="G792" s="100"/>
      <c r="H792" s="148"/>
      <c r="I792" s="100"/>
      <c r="J792" s="100"/>
      <c r="K792" s="100"/>
      <c r="L792" s="100"/>
      <c r="M792" s="100"/>
    </row>
    <row r="793" spans="4:13" s="104" customFormat="1">
      <c r="D793" s="148"/>
      <c r="E793" s="100"/>
      <c r="F793" s="100"/>
      <c r="G793" s="100"/>
      <c r="H793" s="148"/>
      <c r="I793" s="100"/>
      <c r="J793" s="100"/>
      <c r="K793" s="100"/>
      <c r="L793" s="100"/>
      <c r="M793" s="100"/>
    </row>
    <row r="794" spans="4:13" s="104" customFormat="1">
      <c r="D794" s="148"/>
      <c r="E794" s="100"/>
      <c r="F794" s="100"/>
      <c r="G794" s="100"/>
      <c r="H794" s="148"/>
      <c r="I794" s="100"/>
      <c r="J794" s="100"/>
      <c r="K794" s="100"/>
      <c r="L794" s="100"/>
      <c r="M794" s="100"/>
    </row>
    <row r="795" spans="4:13" s="104" customFormat="1">
      <c r="D795" s="148"/>
      <c r="E795" s="100"/>
      <c r="F795" s="100"/>
      <c r="G795" s="100"/>
      <c r="H795" s="148"/>
      <c r="I795" s="100"/>
      <c r="J795" s="100"/>
      <c r="K795" s="100"/>
      <c r="L795" s="100"/>
      <c r="M795" s="100"/>
    </row>
    <row r="796" spans="4:13" s="104" customFormat="1">
      <c r="D796" s="148"/>
      <c r="E796" s="100"/>
      <c r="F796" s="100"/>
      <c r="G796" s="100"/>
      <c r="H796" s="148"/>
      <c r="I796" s="100"/>
      <c r="J796" s="100"/>
      <c r="K796" s="100"/>
      <c r="L796" s="100"/>
      <c r="M796" s="100"/>
    </row>
    <row r="797" spans="4:13" s="104" customFormat="1">
      <c r="D797" s="148"/>
      <c r="E797" s="100"/>
      <c r="F797" s="100"/>
      <c r="G797" s="100"/>
      <c r="H797" s="148"/>
      <c r="I797" s="100"/>
      <c r="J797" s="100"/>
      <c r="K797" s="100"/>
      <c r="L797" s="100"/>
      <c r="M797" s="100"/>
    </row>
    <row r="798" spans="4:13" s="104" customFormat="1">
      <c r="D798" s="148"/>
      <c r="E798" s="100"/>
      <c r="F798" s="100"/>
      <c r="G798" s="100"/>
      <c r="H798" s="148"/>
      <c r="I798" s="100"/>
      <c r="J798" s="100"/>
      <c r="K798" s="100"/>
      <c r="L798" s="100"/>
      <c r="M798" s="100"/>
    </row>
    <row r="799" spans="4:13" s="104" customFormat="1">
      <c r="D799" s="148"/>
      <c r="E799" s="100"/>
      <c r="F799" s="100"/>
      <c r="G799" s="100"/>
      <c r="H799" s="148"/>
      <c r="I799" s="100"/>
      <c r="J799" s="100"/>
      <c r="K799" s="100"/>
      <c r="L799" s="100"/>
      <c r="M799" s="100"/>
    </row>
    <row r="800" spans="4:13" s="104" customFormat="1">
      <c r="D800" s="148"/>
      <c r="E800" s="100"/>
      <c r="F800" s="100"/>
      <c r="G800" s="100"/>
      <c r="H800" s="148"/>
      <c r="I800" s="100"/>
      <c r="J800" s="100"/>
      <c r="K800" s="100"/>
      <c r="L800" s="100"/>
      <c r="M800" s="100"/>
    </row>
    <row r="801" spans="4:13" s="104" customFormat="1">
      <c r="D801" s="148"/>
      <c r="E801" s="100"/>
      <c r="F801" s="100"/>
      <c r="G801" s="100"/>
      <c r="H801" s="148"/>
      <c r="I801" s="100"/>
      <c r="J801" s="100"/>
      <c r="K801" s="100"/>
      <c r="L801" s="100"/>
      <c r="M801" s="100"/>
    </row>
    <row r="802" spans="4:13" s="104" customFormat="1">
      <c r="D802" s="148"/>
      <c r="E802" s="100"/>
      <c r="F802" s="100"/>
      <c r="G802" s="100"/>
      <c r="H802" s="148"/>
      <c r="I802" s="100"/>
      <c r="J802" s="100"/>
      <c r="K802" s="100"/>
      <c r="L802" s="100"/>
      <c r="M802" s="100"/>
    </row>
    <row r="803" spans="4:13" s="104" customFormat="1">
      <c r="D803" s="148"/>
      <c r="E803" s="100"/>
      <c r="F803" s="100"/>
      <c r="G803" s="100"/>
      <c r="H803" s="148"/>
      <c r="I803" s="100"/>
      <c r="J803" s="100"/>
      <c r="K803" s="100"/>
      <c r="L803" s="100"/>
      <c r="M803" s="100"/>
    </row>
    <row r="804" spans="4:13" s="104" customFormat="1">
      <c r="D804" s="148"/>
      <c r="E804" s="100"/>
      <c r="F804" s="100"/>
      <c r="G804" s="100"/>
      <c r="H804" s="148"/>
      <c r="I804" s="100"/>
      <c r="J804" s="100"/>
      <c r="K804" s="100"/>
      <c r="L804" s="100"/>
      <c r="M804" s="100"/>
    </row>
    <row r="805" spans="4:13" s="104" customFormat="1">
      <c r="D805" s="148"/>
      <c r="E805" s="100"/>
      <c r="F805" s="100"/>
      <c r="G805" s="100"/>
      <c r="H805" s="148"/>
      <c r="I805" s="100"/>
      <c r="J805" s="100"/>
      <c r="K805" s="100"/>
      <c r="L805" s="100"/>
      <c r="M805" s="100"/>
    </row>
    <row r="806" spans="4:13" s="104" customFormat="1">
      <c r="D806" s="148"/>
      <c r="E806" s="100"/>
      <c r="F806" s="100"/>
      <c r="G806" s="100"/>
      <c r="H806" s="148"/>
      <c r="I806" s="100"/>
      <c r="J806" s="100"/>
      <c r="K806" s="100"/>
      <c r="L806" s="100"/>
      <c r="M806" s="100"/>
    </row>
    <row r="807" spans="4:13" s="104" customFormat="1">
      <c r="D807" s="148"/>
      <c r="E807" s="100"/>
      <c r="F807" s="100"/>
      <c r="G807" s="100"/>
      <c r="H807" s="148"/>
      <c r="I807" s="100"/>
      <c r="J807" s="100"/>
      <c r="K807" s="100"/>
      <c r="L807" s="100"/>
      <c r="M807" s="100"/>
    </row>
    <row r="808" spans="4:13" s="104" customFormat="1">
      <c r="D808" s="148"/>
      <c r="E808" s="100"/>
      <c r="F808" s="100"/>
      <c r="G808" s="100"/>
      <c r="H808" s="148"/>
      <c r="I808" s="100"/>
      <c r="J808" s="100"/>
      <c r="K808" s="100"/>
      <c r="L808" s="100"/>
      <c r="M808" s="100"/>
    </row>
    <row r="809" spans="4:13" s="104" customFormat="1">
      <c r="D809" s="148"/>
      <c r="E809" s="100"/>
      <c r="F809" s="100"/>
      <c r="G809" s="100"/>
      <c r="H809" s="148"/>
      <c r="I809" s="100"/>
      <c r="J809" s="100"/>
      <c r="K809" s="100"/>
      <c r="L809" s="100"/>
      <c r="M809" s="100"/>
    </row>
    <row r="810" spans="4:13" s="104" customFormat="1">
      <c r="D810" s="148"/>
      <c r="E810" s="100"/>
      <c r="F810" s="100"/>
      <c r="G810" s="100"/>
      <c r="H810" s="148"/>
      <c r="I810" s="100"/>
      <c r="J810" s="100"/>
      <c r="K810" s="100"/>
      <c r="L810" s="100"/>
      <c r="M810" s="100"/>
    </row>
    <row r="811" spans="4:13" s="104" customFormat="1">
      <c r="D811" s="148"/>
      <c r="E811" s="100"/>
      <c r="F811" s="100"/>
      <c r="G811" s="100"/>
      <c r="H811" s="148"/>
      <c r="I811" s="100"/>
      <c r="J811" s="100"/>
      <c r="K811" s="100"/>
      <c r="L811" s="100"/>
      <c r="M811" s="100"/>
    </row>
    <row r="812" spans="4:13" s="104" customFormat="1">
      <c r="D812" s="148"/>
      <c r="E812" s="100"/>
      <c r="F812" s="100"/>
      <c r="G812" s="100"/>
      <c r="H812" s="148"/>
      <c r="I812" s="100"/>
      <c r="J812" s="100"/>
      <c r="K812" s="100"/>
      <c r="L812" s="100"/>
      <c r="M812" s="100"/>
    </row>
    <row r="813" spans="4:13" s="104" customFormat="1">
      <c r="D813" s="148"/>
      <c r="E813" s="100"/>
      <c r="F813" s="100"/>
      <c r="G813" s="100"/>
      <c r="H813" s="148"/>
      <c r="I813" s="100"/>
      <c r="J813" s="100"/>
      <c r="K813" s="100"/>
      <c r="L813" s="100"/>
      <c r="M813" s="100"/>
    </row>
    <row r="814" spans="4:13" s="104" customFormat="1">
      <c r="D814" s="148"/>
      <c r="E814" s="100"/>
      <c r="F814" s="100"/>
      <c r="G814" s="100"/>
      <c r="H814" s="148"/>
      <c r="I814" s="100"/>
      <c r="J814" s="100"/>
      <c r="K814" s="100"/>
      <c r="L814" s="100"/>
      <c r="M814" s="100"/>
    </row>
    <row r="815" spans="4:13" s="104" customFormat="1">
      <c r="D815" s="148"/>
      <c r="E815" s="100"/>
      <c r="F815" s="100"/>
      <c r="G815" s="100"/>
      <c r="H815" s="148"/>
      <c r="I815" s="100"/>
      <c r="J815" s="100"/>
      <c r="K815" s="100"/>
      <c r="L815" s="100"/>
      <c r="M815" s="100"/>
    </row>
    <row r="816" spans="4:13" s="104" customFormat="1">
      <c r="D816" s="148"/>
      <c r="E816" s="100"/>
      <c r="F816" s="100"/>
      <c r="G816" s="100"/>
      <c r="H816" s="148"/>
      <c r="I816" s="100"/>
      <c r="J816" s="100"/>
      <c r="K816" s="100"/>
      <c r="L816" s="100"/>
      <c r="M816" s="100"/>
    </row>
    <row r="817" spans="4:13" s="104" customFormat="1">
      <c r="D817" s="148"/>
      <c r="E817" s="100"/>
      <c r="F817" s="100"/>
      <c r="G817" s="100"/>
      <c r="H817" s="148"/>
      <c r="I817" s="100"/>
      <c r="J817" s="100"/>
      <c r="K817" s="100"/>
      <c r="L817" s="100"/>
      <c r="M817" s="100"/>
    </row>
    <row r="818" spans="4:13" s="104" customFormat="1">
      <c r="D818" s="148"/>
      <c r="E818" s="100"/>
      <c r="F818" s="100"/>
      <c r="G818" s="100"/>
      <c r="H818" s="148"/>
      <c r="I818" s="100"/>
      <c r="J818" s="100"/>
      <c r="K818" s="100"/>
      <c r="L818" s="100"/>
      <c r="M818" s="100"/>
    </row>
    <row r="819" spans="4:13" s="104" customFormat="1">
      <c r="D819" s="148"/>
      <c r="E819" s="100"/>
      <c r="F819" s="100"/>
      <c r="G819" s="100"/>
      <c r="H819" s="148"/>
      <c r="I819" s="100"/>
      <c r="J819" s="100"/>
      <c r="K819" s="100"/>
      <c r="L819" s="100"/>
      <c r="M819" s="100"/>
    </row>
    <row r="820" spans="4:13" s="104" customFormat="1">
      <c r="D820" s="148"/>
      <c r="E820" s="100"/>
      <c r="F820" s="100"/>
      <c r="G820" s="100"/>
      <c r="H820" s="148"/>
      <c r="I820" s="100"/>
      <c r="J820" s="100"/>
      <c r="K820" s="100"/>
      <c r="L820" s="100"/>
      <c r="M820" s="100"/>
    </row>
    <row r="821" spans="4:13" s="104" customFormat="1">
      <c r="D821" s="148"/>
      <c r="E821" s="100"/>
      <c r="F821" s="100"/>
      <c r="G821" s="100"/>
      <c r="H821" s="148"/>
      <c r="I821" s="100"/>
      <c r="J821" s="100"/>
      <c r="K821" s="100"/>
      <c r="L821" s="100"/>
      <c r="M821" s="100"/>
    </row>
    <row r="822" spans="4:13" s="104" customFormat="1">
      <c r="D822" s="148"/>
      <c r="E822" s="100"/>
      <c r="F822" s="100"/>
      <c r="G822" s="100"/>
      <c r="H822" s="148"/>
      <c r="I822" s="100"/>
      <c r="J822" s="100"/>
      <c r="K822" s="100"/>
      <c r="L822" s="100"/>
      <c r="M822" s="100"/>
    </row>
    <row r="823" spans="4:13" s="104" customFormat="1">
      <c r="D823" s="148"/>
      <c r="E823" s="100"/>
      <c r="F823" s="100"/>
      <c r="G823" s="100"/>
      <c r="H823" s="148"/>
      <c r="I823" s="100"/>
      <c r="J823" s="100"/>
      <c r="K823" s="100"/>
      <c r="L823" s="100"/>
      <c r="M823" s="100"/>
    </row>
    <row r="824" spans="4:13" s="104" customFormat="1">
      <c r="D824" s="148"/>
      <c r="E824" s="100"/>
      <c r="F824" s="100"/>
      <c r="G824" s="100"/>
      <c r="H824" s="148"/>
      <c r="I824" s="100"/>
      <c r="J824" s="100"/>
      <c r="K824" s="100"/>
      <c r="L824" s="100"/>
      <c r="M824" s="100"/>
    </row>
    <row r="825" spans="4:13" s="104" customFormat="1">
      <c r="D825" s="148"/>
      <c r="E825" s="100"/>
      <c r="F825" s="100"/>
      <c r="G825" s="100"/>
      <c r="H825" s="148"/>
      <c r="I825" s="100"/>
      <c r="J825" s="100"/>
      <c r="K825" s="100"/>
      <c r="L825" s="100"/>
      <c r="M825" s="100"/>
    </row>
    <row r="826" spans="4:13" s="104" customFormat="1">
      <c r="D826" s="148"/>
      <c r="E826" s="100"/>
      <c r="F826" s="100"/>
      <c r="G826" s="100"/>
      <c r="H826" s="148"/>
      <c r="I826" s="100"/>
      <c r="J826" s="100"/>
      <c r="K826" s="100"/>
      <c r="L826" s="100"/>
      <c r="M826" s="100"/>
    </row>
    <row r="827" spans="4:13" s="104" customFormat="1">
      <c r="D827" s="148"/>
      <c r="E827" s="100"/>
      <c r="F827" s="100"/>
      <c r="G827" s="100"/>
      <c r="H827" s="148"/>
      <c r="I827" s="100"/>
      <c r="J827" s="100"/>
      <c r="K827" s="100"/>
      <c r="L827" s="100"/>
      <c r="M827" s="100"/>
    </row>
    <row r="828" spans="4:13" s="104" customFormat="1">
      <c r="D828" s="148"/>
      <c r="E828" s="100"/>
      <c r="F828" s="100"/>
      <c r="G828" s="100"/>
      <c r="H828" s="148"/>
      <c r="I828" s="100"/>
      <c r="J828" s="100"/>
      <c r="K828" s="100"/>
      <c r="L828" s="100"/>
      <c r="M828" s="100"/>
    </row>
    <row r="829" spans="4:13" s="104" customFormat="1">
      <c r="D829" s="148"/>
      <c r="E829" s="100"/>
      <c r="F829" s="100"/>
      <c r="G829" s="100"/>
      <c r="H829" s="148"/>
      <c r="I829" s="100"/>
      <c r="J829" s="100"/>
      <c r="K829" s="100"/>
      <c r="L829" s="100"/>
      <c r="M829" s="100"/>
    </row>
    <row r="830" spans="4:13" s="104" customFormat="1">
      <c r="D830" s="148"/>
      <c r="E830" s="100"/>
      <c r="F830" s="100"/>
      <c r="G830" s="100"/>
      <c r="H830" s="148"/>
      <c r="I830" s="100"/>
      <c r="J830" s="100"/>
      <c r="K830" s="100"/>
      <c r="L830" s="100"/>
      <c r="M830" s="100"/>
    </row>
    <row r="831" spans="4:13" s="104" customFormat="1">
      <c r="D831" s="148"/>
      <c r="E831" s="100"/>
      <c r="F831" s="100"/>
      <c r="G831" s="100"/>
      <c r="H831" s="148"/>
      <c r="I831" s="100"/>
      <c r="J831" s="100"/>
      <c r="K831" s="100"/>
      <c r="L831" s="100"/>
      <c r="M831" s="100"/>
    </row>
    <row r="832" spans="4:13" s="104" customFormat="1">
      <c r="D832" s="148"/>
      <c r="E832" s="100"/>
      <c r="F832" s="100"/>
      <c r="G832" s="100"/>
      <c r="H832" s="148"/>
      <c r="I832" s="100"/>
      <c r="J832" s="100"/>
      <c r="K832" s="100"/>
      <c r="L832" s="100"/>
      <c r="M832" s="100"/>
    </row>
    <row r="833" spans="4:13" s="104" customFormat="1">
      <c r="D833" s="148"/>
      <c r="E833" s="100"/>
      <c r="F833" s="100"/>
      <c r="G833" s="100"/>
      <c r="H833" s="148"/>
      <c r="I833" s="100"/>
      <c r="J833" s="100"/>
      <c r="K833" s="100"/>
      <c r="L833" s="100"/>
      <c r="M833" s="100"/>
    </row>
    <row r="834" spans="4:13" s="104" customFormat="1">
      <c r="D834" s="148"/>
      <c r="E834" s="100"/>
      <c r="F834" s="100"/>
      <c r="G834" s="100"/>
      <c r="H834" s="148"/>
      <c r="I834" s="100"/>
      <c r="J834" s="100"/>
      <c r="K834" s="100"/>
      <c r="L834" s="100"/>
      <c r="M834" s="100"/>
    </row>
    <row r="835" spans="4:13" s="104" customFormat="1">
      <c r="D835" s="148"/>
      <c r="E835" s="100"/>
      <c r="F835" s="100"/>
      <c r="G835" s="100"/>
      <c r="H835" s="148"/>
      <c r="I835" s="100"/>
      <c r="J835" s="100"/>
      <c r="K835" s="100"/>
      <c r="L835" s="100"/>
      <c r="M835" s="100"/>
    </row>
    <row r="836" spans="4:13" s="104" customFormat="1">
      <c r="D836" s="148"/>
      <c r="E836" s="100"/>
      <c r="F836" s="100"/>
      <c r="G836" s="100"/>
      <c r="H836" s="148"/>
      <c r="I836" s="100"/>
      <c r="J836" s="100"/>
      <c r="K836" s="100"/>
      <c r="L836" s="100"/>
      <c r="M836" s="100"/>
    </row>
    <row r="837" spans="4:13" s="104" customFormat="1">
      <c r="D837" s="148"/>
      <c r="E837" s="100"/>
      <c r="F837" s="100"/>
      <c r="G837" s="100"/>
      <c r="H837" s="148"/>
      <c r="I837" s="100"/>
      <c r="J837" s="100"/>
      <c r="K837" s="100"/>
      <c r="L837" s="100"/>
      <c r="M837" s="100"/>
    </row>
    <row r="838" spans="4:13" s="104" customFormat="1">
      <c r="D838" s="148"/>
      <c r="E838" s="100"/>
      <c r="F838" s="100"/>
      <c r="G838" s="100"/>
      <c r="H838" s="148"/>
      <c r="I838" s="100"/>
      <c r="J838" s="100"/>
      <c r="K838" s="100"/>
      <c r="L838" s="100"/>
      <c r="M838" s="100"/>
    </row>
    <row r="839" spans="4:13" s="104" customFormat="1">
      <c r="D839" s="148"/>
      <c r="E839" s="100"/>
      <c r="F839" s="100"/>
      <c r="G839" s="100"/>
      <c r="H839" s="148"/>
      <c r="I839" s="100"/>
      <c r="J839" s="100"/>
      <c r="K839" s="100"/>
      <c r="L839" s="100"/>
      <c r="M839" s="100"/>
    </row>
    <row r="840" spans="4:13" s="104" customFormat="1">
      <c r="D840" s="148"/>
      <c r="E840" s="100"/>
      <c r="F840" s="100"/>
      <c r="G840" s="100"/>
      <c r="H840" s="148"/>
      <c r="I840" s="100"/>
      <c r="J840" s="100"/>
      <c r="K840" s="100"/>
      <c r="L840" s="100"/>
      <c r="M840" s="100"/>
    </row>
    <row r="841" spans="4:13" s="104" customFormat="1">
      <c r="D841" s="148"/>
      <c r="E841" s="100"/>
      <c r="F841" s="100"/>
      <c r="G841" s="100"/>
      <c r="H841" s="148"/>
      <c r="I841" s="100"/>
      <c r="J841" s="100"/>
      <c r="K841" s="100"/>
      <c r="L841" s="100"/>
      <c r="M841" s="100"/>
    </row>
    <row r="842" spans="4:13" s="104" customFormat="1">
      <c r="D842" s="148"/>
      <c r="E842" s="100"/>
      <c r="F842" s="100"/>
      <c r="G842" s="100"/>
      <c r="H842" s="148"/>
      <c r="I842" s="100"/>
      <c r="J842" s="100"/>
      <c r="K842" s="100"/>
      <c r="L842" s="100"/>
      <c r="M842" s="100"/>
    </row>
    <row r="843" spans="4:13" s="104" customFormat="1">
      <c r="D843" s="148"/>
      <c r="E843" s="100"/>
      <c r="F843" s="100"/>
      <c r="G843" s="100"/>
      <c r="H843" s="148"/>
      <c r="I843" s="100"/>
      <c r="J843" s="100"/>
      <c r="K843" s="100"/>
      <c r="L843" s="100"/>
      <c r="M843" s="100"/>
    </row>
    <row r="844" spans="4:13" s="104" customFormat="1">
      <c r="D844" s="148"/>
      <c r="E844" s="100"/>
      <c r="F844" s="100"/>
      <c r="G844" s="100"/>
      <c r="H844" s="148"/>
      <c r="I844" s="100"/>
      <c r="J844" s="100"/>
      <c r="K844" s="100"/>
      <c r="L844" s="100"/>
      <c r="M844" s="100"/>
    </row>
    <row r="845" spans="4:13" s="104" customFormat="1">
      <c r="D845" s="148"/>
      <c r="E845" s="100"/>
      <c r="F845" s="100"/>
      <c r="G845" s="100"/>
      <c r="H845" s="148"/>
      <c r="I845" s="100"/>
      <c r="J845" s="100"/>
      <c r="K845" s="100"/>
      <c r="L845" s="100"/>
      <c r="M845" s="100"/>
    </row>
    <row r="846" spans="4:13" s="104" customFormat="1">
      <c r="D846" s="148"/>
      <c r="E846" s="100"/>
      <c r="F846" s="100"/>
      <c r="G846" s="100"/>
      <c r="H846" s="148"/>
      <c r="I846" s="100"/>
      <c r="J846" s="100"/>
      <c r="K846" s="100"/>
      <c r="L846" s="100"/>
      <c r="M846" s="100"/>
    </row>
    <row r="847" spans="4:13" s="104" customFormat="1">
      <c r="D847" s="148"/>
      <c r="E847" s="100"/>
      <c r="F847" s="100"/>
      <c r="G847" s="100"/>
      <c r="H847" s="148"/>
      <c r="I847" s="100"/>
      <c r="J847" s="100"/>
      <c r="K847" s="100"/>
      <c r="L847" s="100"/>
      <c r="M847" s="100"/>
    </row>
    <row r="848" spans="4:13" s="104" customFormat="1">
      <c r="D848" s="148"/>
      <c r="E848" s="100"/>
      <c r="F848" s="100"/>
      <c r="G848" s="100"/>
      <c r="H848" s="148"/>
      <c r="I848" s="100"/>
      <c r="J848" s="100"/>
      <c r="K848" s="100"/>
      <c r="L848" s="100"/>
      <c r="M848" s="100"/>
    </row>
    <row r="849" spans="4:13" s="104" customFormat="1">
      <c r="D849" s="148"/>
      <c r="E849" s="100"/>
      <c r="F849" s="100"/>
      <c r="G849" s="100"/>
      <c r="H849" s="148"/>
      <c r="I849" s="100"/>
      <c r="J849" s="100"/>
      <c r="K849" s="100"/>
      <c r="L849" s="100"/>
      <c r="M849" s="100"/>
    </row>
    <row r="850" spans="4:13" s="104" customFormat="1">
      <c r="D850" s="148"/>
      <c r="E850" s="100"/>
      <c r="F850" s="100"/>
      <c r="G850" s="100"/>
      <c r="H850" s="148"/>
      <c r="I850" s="100"/>
      <c r="J850" s="100"/>
      <c r="K850" s="100"/>
      <c r="L850" s="100"/>
      <c r="M850" s="100"/>
    </row>
    <row r="851" spans="4:13" s="104" customFormat="1">
      <c r="D851" s="148"/>
      <c r="E851" s="100"/>
      <c r="F851" s="100"/>
      <c r="G851" s="100"/>
      <c r="H851" s="148"/>
      <c r="I851" s="100"/>
      <c r="J851" s="100"/>
      <c r="K851" s="100"/>
      <c r="L851" s="100"/>
      <c r="M851" s="100"/>
    </row>
    <row r="852" spans="4:13" s="104" customFormat="1">
      <c r="D852" s="148"/>
      <c r="E852" s="100"/>
      <c r="F852" s="100"/>
      <c r="G852" s="100"/>
      <c r="H852" s="148"/>
      <c r="I852" s="100"/>
      <c r="J852" s="100"/>
      <c r="K852" s="100"/>
      <c r="L852" s="100"/>
      <c r="M852" s="100"/>
    </row>
    <row r="853" spans="4:13" s="104" customFormat="1">
      <c r="D853" s="148"/>
      <c r="E853" s="100"/>
      <c r="F853" s="100"/>
      <c r="G853" s="100"/>
      <c r="H853" s="148"/>
      <c r="I853" s="100"/>
      <c r="J853" s="100"/>
      <c r="K853" s="100"/>
      <c r="L853" s="100"/>
      <c r="M853" s="100"/>
    </row>
    <row r="854" spans="4:13" s="104" customFormat="1">
      <c r="D854" s="148"/>
      <c r="E854" s="100"/>
      <c r="F854" s="100"/>
      <c r="G854" s="100"/>
      <c r="H854" s="148"/>
      <c r="I854" s="100"/>
      <c r="J854" s="100"/>
      <c r="K854" s="100"/>
      <c r="L854" s="100"/>
      <c r="M854" s="100"/>
    </row>
    <row r="855" spans="4:13" s="104" customFormat="1">
      <c r="D855" s="148"/>
      <c r="E855" s="100"/>
      <c r="F855" s="100"/>
      <c r="G855" s="100"/>
      <c r="H855" s="148"/>
      <c r="I855" s="100"/>
      <c r="J855" s="100"/>
      <c r="K855" s="100"/>
      <c r="L855" s="100"/>
      <c r="M855" s="100"/>
    </row>
    <row r="856" spans="4:13" s="104" customFormat="1">
      <c r="D856" s="148"/>
      <c r="E856" s="100"/>
      <c r="F856" s="100"/>
      <c r="G856" s="100"/>
      <c r="H856" s="148"/>
      <c r="I856" s="100"/>
      <c r="J856" s="100"/>
      <c r="K856" s="100"/>
      <c r="L856" s="100"/>
      <c r="M856" s="100"/>
    </row>
    <row r="857" spans="4:13" s="104" customFormat="1">
      <c r="D857" s="148"/>
      <c r="E857" s="100"/>
      <c r="F857" s="100"/>
      <c r="G857" s="100"/>
      <c r="H857" s="148"/>
      <c r="I857" s="100"/>
      <c r="J857" s="100"/>
      <c r="K857" s="100"/>
      <c r="L857" s="100"/>
      <c r="M857" s="100"/>
    </row>
    <row r="858" spans="4:13" s="104" customFormat="1">
      <c r="D858" s="148"/>
      <c r="E858" s="100"/>
      <c r="F858" s="100"/>
      <c r="G858" s="100"/>
      <c r="H858" s="148"/>
      <c r="I858" s="100"/>
      <c r="J858" s="100"/>
      <c r="K858" s="100"/>
      <c r="L858" s="100"/>
      <c r="M858" s="100"/>
    </row>
    <row r="859" spans="4:13" s="104" customFormat="1">
      <c r="D859" s="148"/>
      <c r="E859" s="100"/>
      <c r="F859" s="100"/>
      <c r="G859" s="100"/>
      <c r="H859" s="148"/>
      <c r="I859" s="100"/>
      <c r="J859" s="100"/>
      <c r="K859" s="100"/>
      <c r="L859" s="100"/>
      <c r="M859" s="100"/>
    </row>
    <row r="860" spans="4:13" s="104" customFormat="1">
      <c r="D860" s="148"/>
      <c r="E860" s="100"/>
      <c r="F860" s="100"/>
      <c r="G860" s="100"/>
      <c r="H860" s="148"/>
      <c r="I860" s="100"/>
      <c r="J860" s="100"/>
      <c r="K860" s="100"/>
      <c r="L860" s="100"/>
      <c r="M860" s="100"/>
    </row>
    <row r="861" spans="4:13" s="104" customFormat="1">
      <c r="D861" s="148"/>
      <c r="E861" s="100"/>
      <c r="F861" s="100"/>
      <c r="G861" s="100"/>
      <c r="H861" s="148"/>
      <c r="I861" s="100"/>
      <c r="J861" s="100"/>
      <c r="K861" s="100"/>
      <c r="L861" s="100"/>
      <c r="M861" s="100"/>
    </row>
    <row r="862" spans="4:13" s="104" customFormat="1">
      <c r="D862" s="148"/>
      <c r="E862" s="100"/>
      <c r="F862" s="100"/>
      <c r="G862" s="100"/>
      <c r="H862" s="148"/>
      <c r="I862" s="100"/>
      <c r="J862" s="100"/>
      <c r="K862" s="100"/>
      <c r="L862" s="100"/>
      <c r="M862" s="100"/>
    </row>
    <row r="863" spans="4:13" s="104" customFormat="1">
      <c r="D863" s="148"/>
      <c r="E863" s="100"/>
      <c r="F863" s="100"/>
      <c r="G863" s="100"/>
      <c r="H863" s="148"/>
      <c r="I863" s="100"/>
      <c r="J863" s="100"/>
      <c r="K863" s="100"/>
      <c r="L863" s="100"/>
      <c r="M863" s="100"/>
    </row>
    <row r="864" spans="4:13" s="104" customFormat="1">
      <c r="D864" s="148"/>
      <c r="E864" s="100"/>
      <c r="F864" s="100"/>
      <c r="G864" s="100"/>
      <c r="H864" s="148"/>
      <c r="I864" s="100"/>
      <c r="J864" s="100"/>
      <c r="K864" s="100"/>
      <c r="L864" s="100"/>
      <c r="M864" s="100"/>
    </row>
    <row r="865" spans="4:13" s="104" customFormat="1">
      <c r="D865" s="148"/>
      <c r="E865" s="100"/>
      <c r="F865" s="100"/>
      <c r="G865" s="100"/>
      <c r="H865" s="148"/>
      <c r="I865" s="100"/>
      <c r="J865" s="100"/>
      <c r="K865" s="100"/>
      <c r="L865" s="100"/>
      <c r="M865" s="100"/>
    </row>
    <row r="866" spans="4:13" s="104" customFormat="1">
      <c r="D866" s="148"/>
      <c r="E866" s="100"/>
      <c r="F866" s="100"/>
      <c r="G866" s="100"/>
      <c r="H866" s="148"/>
      <c r="I866" s="100"/>
      <c r="J866" s="100"/>
      <c r="K866" s="100"/>
      <c r="L866" s="100"/>
      <c r="M866" s="100"/>
    </row>
    <row r="867" spans="4:13" s="104" customFormat="1">
      <c r="D867" s="148"/>
      <c r="E867" s="100"/>
      <c r="F867" s="100"/>
      <c r="G867" s="100"/>
      <c r="H867" s="148"/>
      <c r="I867" s="100"/>
      <c r="J867" s="100"/>
      <c r="K867" s="100"/>
      <c r="L867" s="100"/>
      <c r="M867" s="100"/>
    </row>
    <row r="868" spans="4:13" s="104" customFormat="1">
      <c r="D868" s="148"/>
      <c r="E868" s="100"/>
      <c r="F868" s="100"/>
      <c r="G868" s="100"/>
      <c r="H868" s="148"/>
      <c r="I868" s="100"/>
      <c r="J868" s="100"/>
      <c r="K868" s="100"/>
      <c r="L868" s="100"/>
      <c r="M868" s="100"/>
    </row>
    <row r="869" spans="4:13" s="104" customFormat="1">
      <c r="D869" s="148"/>
      <c r="E869" s="100"/>
      <c r="F869" s="100"/>
      <c r="G869" s="100"/>
      <c r="H869" s="148"/>
      <c r="I869" s="100"/>
      <c r="J869" s="100"/>
      <c r="K869" s="100"/>
      <c r="L869" s="100"/>
      <c r="M869" s="100"/>
    </row>
    <row r="870" spans="4:13" s="104" customFormat="1">
      <c r="D870" s="148"/>
      <c r="E870" s="100"/>
      <c r="F870" s="100"/>
      <c r="G870" s="100"/>
      <c r="H870" s="148"/>
      <c r="I870" s="100"/>
      <c r="J870" s="100"/>
      <c r="K870" s="100"/>
      <c r="L870" s="100"/>
      <c r="M870" s="100"/>
    </row>
    <row r="871" spans="4:13" s="104" customFormat="1">
      <c r="D871" s="148"/>
      <c r="E871" s="100"/>
      <c r="F871" s="100"/>
      <c r="G871" s="100"/>
      <c r="H871" s="148"/>
      <c r="I871" s="100"/>
      <c r="J871" s="100"/>
      <c r="K871" s="100"/>
      <c r="L871" s="100"/>
      <c r="M871" s="100"/>
    </row>
    <row r="872" spans="4:13" s="104" customFormat="1">
      <c r="D872" s="148"/>
      <c r="E872" s="100"/>
      <c r="F872" s="100"/>
      <c r="G872" s="100"/>
      <c r="H872" s="148"/>
      <c r="I872" s="100"/>
      <c r="J872" s="100"/>
      <c r="K872" s="100"/>
      <c r="L872" s="100"/>
      <c r="M872" s="100"/>
    </row>
    <row r="873" spans="4:13" s="104" customFormat="1">
      <c r="D873" s="148"/>
      <c r="E873" s="100"/>
      <c r="F873" s="100"/>
      <c r="G873" s="100"/>
      <c r="H873" s="148"/>
      <c r="I873" s="100"/>
      <c r="J873" s="100"/>
      <c r="K873" s="100"/>
      <c r="L873" s="100"/>
      <c r="M873" s="100"/>
    </row>
    <row r="874" spans="4:13" s="104" customFormat="1">
      <c r="D874" s="148"/>
      <c r="E874" s="100"/>
      <c r="F874" s="100"/>
      <c r="G874" s="100"/>
      <c r="H874" s="148"/>
      <c r="I874" s="100"/>
      <c r="J874" s="100"/>
      <c r="K874" s="100"/>
      <c r="L874" s="100"/>
      <c r="M874" s="100"/>
    </row>
    <row r="875" spans="4:13" s="104" customFormat="1">
      <c r="D875" s="148"/>
      <c r="E875" s="100"/>
      <c r="F875" s="100"/>
      <c r="G875" s="100"/>
      <c r="H875" s="148"/>
      <c r="I875" s="100"/>
      <c r="J875" s="100"/>
      <c r="K875" s="100"/>
      <c r="L875" s="100"/>
      <c r="M875" s="100"/>
    </row>
    <row r="876" spans="4:13" s="104" customFormat="1">
      <c r="D876" s="148"/>
      <c r="E876" s="100"/>
      <c r="F876" s="100"/>
      <c r="G876" s="100"/>
      <c r="H876" s="148"/>
      <c r="I876" s="100"/>
      <c r="J876" s="100"/>
      <c r="K876" s="100"/>
      <c r="L876" s="100"/>
      <c r="M876" s="100"/>
    </row>
    <row r="877" spans="4:13" s="104" customFormat="1">
      <c r="D877" s="148"/>
      <c r="E877" s="100"/>
      <c r="F877" s="100"/>
      <c r="G877" s="100"/>
      <c r="H877" s="148"/>
      <c r="I877" s="100"/>
      <c r="J877" s="100"/>
      <c r="K877" s="100"/>
      <c r="L877" s="100"/>
      <c r="M877" s="100"/>
    </row>
    <row r="878" spans="4:13" s="104" customFormat="1">
      <c r="D878" s="148"/>
      <c r="E878" s="100"/>
      <c r="F878" s="100"/>
      <c r="G878" s="100"/>
      <c r="H878" s="148"/>
      <c r="I878" s="100"/>
      <c r="J878" s="100"/>
      <c r="K878" s="100"/>
      <c r="L878" s="100"/>
      <c r="M878" s="100"/>
    </row>
    <row r="879" spans="4:13" s="104" customFormat="1">
      <c r="D879" s="148"/>
      <c r="E879" s="100"/>
      <c r="F879" s="100"/>
      <c r="G879" s="100"/>
      <c r="H879" s="148"/>
      <c r="I879" s="100"/>
      <c r="J879" s="100"/>
      <c r="K879" s="100"/>
      <c r="L879" s="100"/>
      <c r="M879" s="100"/>
    </row>
    <row r="880" spans="4:13" s="104" customFormat="1">
      <c r="D880" s="148"/>
      <c r="E880" s="100"/>
      <c r="F880" s="100"/>
      <c r="G880" s="100"/>
      <c r="H880" s="148"/>
      <c r="I880" s="100"/>
      <c r="J880" s="100"/>
      <c r="K880" s="100"/>
      <c r="L880" s="100"/>
      <c r="M880" s="100"/>
    </row>
    <row r="881" spans="4:13" s="104" customFormat="1">
      <c r="D881" s="148"/>
      <c r="E881" s="100"/>
      <c r="F881" s="100"/>
      <c r="G881" s="100"/>
      <c r="H881" s="148"/>
      <c r="I881" s="100"/>
      <c r="J881" s="100"/>
      <c r="K881" s="100"/>
      <c r="L881" s="100"/>
      <c r="M881" s="100"/>
    </row>
    <row r="882" spans="4:13" s="104" customFormat="1">
      <c r="D882" s="148"/>
      <c r="E882" s="100"/>
      <c r="F882" s="100"/>
      <c r="G882" s="100"/>
      <c r="H882" s="148"/>
      <c r="I882" s="100"/>
      <c r="J882" s="100"/>
      <c r="K882" s="100"/>
      <c r="L882" s="100"/>
      <c r="M882" s="100"/>
    </row>
    <row r="883" spans="4:13" s="104" customFormat="1">
      <c r="D883" s="148"/>
      <c r="E883" s="100"/>
      <c r="F883" s="100"/>
      <c r="G883" s="100"/>
      <c r="H883" s="148"/>
      <c r="I883" s="100"/>
      <c r="J883" s="100"/>
      <c r="K883" s="100"/>
      <c r="L883" s="100"/>
      <c r="M883" s="100"/>
    </row>
    <row r="884" spans="4:13" s="104" customFormat="1">
      <c r="D884" s="148"/>
      <c r="E884" s="100"/>
      <c r="F884" s="100"/>
      <c r="G884" s="100"/>
      <c r="H884" s="148"/>
      <c r="I884" s="100"/>
      <c r="J884" s="100"/>
      <c r="K884" s="100"/>
      <c r="L884" s="100"/>
      <c r="M884" s="100"/>
    </row>
    <row r="885" spans="4:13" s="104" customFormat="1">
      <c r="D885" s="148"/>
      <c r="E885" s="100"/>
      <c r="F885" s="100"/>
      <c r="G885" s="100"/>
      <c r="H885" s="148"/>
      <c r="I885" s="100"/>
      <c r="J885" s="100"/>
      <c r="K885" s="100"/>
      <c r="L885" s="100"/>
      <c r="M885" s="100"/>
    </row>
    <row r="886" spans="4:13" s="104" customFormat="1">
      <c r="D886" s="148"/>
      <c r="E886" s="100"/>
      <c r="F886" s="100"/>
      <c r="G886" s="100"/>
      <c r="H886" s="148"/>
      <c r="I886" s="100"/>
      <c r="J886" s="100"/>
      <c r="K886" s="100"/>
      <c r="L886" s="100"/>
      <c r="M886" s="100"/>
    </row>
    <row r="887" spans="4:13" s="104" customFormat="1">
      <c r="D887" s="148"/>
      <c r="E887" s="100"/>
      <c r="F887" s="100"/>
      <c r="G887" s="100"/>
      <c r="H887" s="148"/>
      <c r="I887" s="100"/>
      <c r="J887" s="100"/>
      <c r="K887" s="100"/>
      <c r="L887" s="100"/>
      <c r="M887" s="100"/>
    </row>
    <row r="888" spans="4:13" s="104" customFormat="1">
      <c r="D888" s="148"/>
      <c r="E888" s="100"/>
      <c r="F888" s="100"/>
      <c r="G888" s="100"/>
      <c r="H888" s="148"/>
      <c r="I888" s="100"/>
      <c r="J888" s="100"/>
      <c r="K888" s="100"/>
      <c r="L888" s="100"/>
      <c r="M888" s="100"/>
    </row>
    <row r="889" spans="4:13" s="104" customFormat="1">
      <c r="D889" s="148"/>
      <c r="E889" s="100"/>
      <c r="F889" s="100"/>
      <c r="G889" s="100"/>
      <c r="H889" s="148"/>
      <c r="I889" s="100"/>
      <c r="J889" s="100"/>
      <c r="K889" s="100"/>
      <c r="L889" s="100"/>
      <c r="M889" s="100"/>
    </row>
    <row r="890" spans="4:13" s="104" customFormat="1">
      <c r="D890" s="148"/>
      <c r="E890" s="100"/>
      <c r="F890" s="100"/>
      <c r="G890" s="100"/>
      <c r="H890" s="148"/>
      <c r="I890" s="100"/>
      <c r="J890" s="100"/>
      <c r="K890" s="100"/>
      <c r="L890" s="100"/>
      <c r="M890" s="100"/>
    </row>
    <row r="891" spans="4:13" s="104" customFormat="1">
      <c r="D891" s="148"/>
      <c r="E891" s="100"/>
      <c r="F891" s="100"/>
      <c r="G891" s="100"/>
      <c r="H891" s="148"/>
      <c r="I891" s="100"/>
      <c r="J891" s="100"/>
      <c r="K891" s="100"/>
      <c r="L891" s="100"/>
      <c r="M891" s="100"/>
    </row>
    <row r="892" spans="4:13" s="104" customFormat="1">
      <c r="D892" s="148"/>
      <c r="E892" s="100"/>
      <c r="F892" s="100"/>
      <c r="G892" s="100"/>
      <c r="H892" s="148"/>
      <c r="I892" s="100"/>
      <c r="J892" s="100"/>
      <c r="K892" s="100"/>
      <c r="L892" s="100"/>
      <c r="M892" s="100"/>
    </row>
    <row r="893" spans="4:13" s="104" customFormat="1">
      <c r="D893" s="148"/>
      <c r="E893" s="100"/>
      <c r="F893" s="100"/>
      <c r="G893" s="100"/>
      <c r="H893" s="148"/>
      <c r="I893" s="100"/>
      <c r="J893" s="100"/>
      <c r="K893" s="100"/>
      <c r="L893" s="100"/>
      <c r="M893" s="100"/>
    </row>
    <row r="894" spans="4:13" s="104" customFormat="1">
      <c r="D894" s="148"/>
      <c r="E894" s="100"/>
      <c r="F894" s="100"/>
      <c r="G894" s="100"/>
      <c r="H894" s="148"/>
      <c r="I894" s="100"/>
      <c r="J894" s="100"/>
      <c r="K894" s="100"/>
      <c r="L894" s="100"/>
      <c r="M894" s="100"/>
    </row>
    <row r="895" spans="4:13" s="104" customFormat="1">
      <c r="D895" s="148"/>
      <c r="E895" s="100"/>
      <c r="F895" s="100"/>
      <c r="G895" s="100"/>
      <c r="H895" s="148"/>
      <c r="I895" s="100"/>
      <c r="J895" s="100"/>
      <c r="K895" s="100"/>
      <c r="L895" s="100"/>
      <c r="M895" s="100"/>
    </row>
    <row r="896" spans="4:13" s="104" customFormat="1">
      <c r="D896" s="148"/>
      <c r="E896" s="100"/>
      <c r="F896" s="100"/>
      <c r="G896" s="100"/>
      <c r="H896" s="148"/>
      <c r="I896" s="100"/>
      <c r="J896" s="100"/>
      <c r="K896" s="100"/>
      <c r="L896" s="100"/>
      <c r="M896" s="100"/>
    </row>
    <row r="897" spans="4:13" s="104" customFormat="1">
      <c r="D897" s="148"/>
      <c r="E897" s="100"/>
      <c r="F897" s="100"/>
      <c r="G897" s="100"/>
      <c r="H897" s="148"/>
      <c r="I897" s="100"/>
      <c r="J897" s="100"/>
      <c r="K897" s="100"/>
      <c r="L897" s="100"/>
      <c r="M897" s="100"/>
    </row>
    <row r="898" spans="4:13" s="104" customFormat="1">
      <c r="D898" s="148"/>
      <c r="E898" s="100"/>
      <c r="F898" s="100"/>
      <c r="G898" s="100"/>
      <c r="H898" s="148"/>
      <c r="I898" s="100"/>
      <c r="J898" s="100"/>
      <c r="K898" s="100"/>
      <c r="L898" s="100"/>
      <c r="M898" s="100"/>
    </row>
    <row r="899" spans="4:13" s="104" customFormat="1">
      <c r="D899" s="148"/>
      <c r="E899" s="100"/>
      <c r="F899" s="100"/>
      <c r="G899" s="100"/>
      <c r="H899" s="148"/>
      <c r="I899" s="100"/>
      <c r="J899" s="100"/>
      <c r="K899" s="100"/>
      <c r="L899" s="100"/>
      <c r="M899" s="100"/>
    </row>
    <row r="900" spans="4:13" s="104" customFormat="1">
      <c r="D900" s="148"/>
      <c r="E900" s="100"/>
      <c r="F900" s="100"/>
      <c r="G900" s="100"/>
      <c r="H900" s="148"/>
      <c r="I900" s="100"/>
      <c r="J900" s="100"/>
      <c r="K900" s="100"/>
      <c r="L900" s="100"/>
      <c r="M900" s="100"/>
    </row>
    <row r="901" spans="4:13" s="104" customFormat="1">
      <c r="D901" s="148"/>
      <c r="E901" s="100"/>
      <c r="F901" s="100"/>
      <c r="G901" s="100"/>
      <c r="H901" s="148"/>
      <c r="I901" s="100"/>
      <c r="J901" s="100"/>
      <c r="K901" s="100"/>
      <c r="L901" s="100"/>
      <c r="M901" s="100"/>
    </row>
    <row r="902" spans="4:13" s="104" customFormat="1">
      <c r="D902" s="148"/>
      <c r="E902" s="100"/>
      <c r="F902" s="100"/>
      <c r="G902" s="100"/>
      <c r="H902" s="148"/>
      <c r="I902" s="100"/>
      <c r="J902" s="100"/>
      <c r="K902" s="100"/>
      <c r="L902" s="100"/>
      <c r="M902" s="100"/>
    </row>
    <row r="903" spans="4:13" s="104" customFormat="1">
      <c r="D903" s="148"/>
      <c r="E903" s="100"/>
      <c r="F903" s="100"/>
      <c r="G903" s="100"/>
      <c r="H903" s="148"/>
      <c r="I903" s="100"/>
      <c r="J903" s="100"/>
      <c r="K903" s="100"/>
      <c r="L903" s="100"/>
      <c r="M903" s="100"/>
    </row>
    <row r="904" spans="4:13" s="104" customFormat="1">
      <c r="D904" s="148"/>
      <c r="E904" s="100"/>
      <c r="F904" s="100"/>
      <c r="G904" s="100"/>
      <c r="H904" s="148"/>
      <c r="I904" s="100"/>
      <c r="J904" s="100"/>
      <c r="K904" s="100"/>
      <c r="L904" s="100"/>
      <c r="M904" s="100"/>
    </row>
    <row r="905" spans="4:13" s="104" customFormat="1">
      <c r="D905" s="148"/>
      <c r="E905" s="100"/>
      <c r="F905" s="100"/>
      <c r="G905" s="100"/>
      <c r="H905" s="148"/>
      <c r="I905" s="100"/>
      <c r="J905" s="100"/>
      <c r="K905" s="100"/>
      <c r="L905" s="100"/>
      <c r="M905" s="100"/>
    </row>
    <row r="906" spans="4:13" s="104" customFormat="1">
      <c r="D906" s="148"/>
      <c r="E906" s="100"/>
      <c r="F906" s="100"/>
      <c r="G906" s="100"/>
      <c r="H906" s="148"/>
      <c r="I906" s="100"/>
      <c r="J906" s="100"/>
      <c r="K906" s="100"/>
      <c r="L906" s="100"/>
      <c r="M906" s="100"/>
    </row>
    <row r="907" spans="4:13" s="104" customFormat="1">
      <c r="D907" s="148"/>
      <c r="E907" s="100"/>
      <c r="F907" s="100"/>
      <c r="G907" s="100"/>
      <c r="H907" s="148"/>
      <c r="I907" s="100"/>
      <c r="J907" s="100"/>
      <c r="K907" s="100"/>
      <c r="L907" s="100"/>
      <c r="M907" s="100"/>
    </row>
    <row r="908" spans="4:13" s="104" customFormat="1">
      <c r="D908" s="148"/>
      <c r="E908" s="100"/>
      <c r="F908" s="100"/>
      <c r="G908" s="100"/>
      <c r="H908" s="148"/>
      <c r="I908" s="100"/>
      <c r="J908" s="100"/>
      <c r="K908" s="100"/>
      <c r="L908" s="100"/>
      <c r="M908" s="100"/>
    </row>
    <row r="909" spans="4:13" s="104" customFormat="1">
      <c r="D909" s="148"/>
      <c r="E909" s="100"/>
      <c r="F909" s="100"/>
      <c r="G909" s="100"/>
      <c r="H909" s="148"/>
      <c r="I909" s="100"/>
      <c r="J909" s="100"/>
      <c r="K909" s="100"/>
      <c r="L909" s="100"/>
      <c r="M909" s="100"/>
    </row>
    <row r="910" spans="4:13" s="104" customFormat="1">
      <c r="D910" s="148"/>
      <c r="E910" s="100"/>
      <c r="F910" s="100"/>
      <c r="G910" s="100"/>
      <c r="H910" s="148"/>
      <c r="I910" s="100"/>
      <c r="J910" s="100"/>
      <c r="K910" s="100"/>
      <c r="L910" s="100"/>
      <c r="M910" s="100"/>
    </row>
    <row r="911" spans="4:13" s="104" customFormat="1">
      <c r="D911" s="148"/>
      <c r="E911" s="100"/>
      <c r="F911" s="100"/>
      <c r="G911" s="100"/>
      <c r="H911" s="148"/>
      <c r="I911" s="100"/>
      <c r="J911" s="100"/>
      <c r="K911" s="100"/>
      <c r="L911" s="100"/>
      <c r="M911" s="100"/>
    </row>
    <row r="912" spans="4:13" s="104" customFormat="1">
      <c r="D912" s="148"/>
      <c r="E912" s="100"/>
      <c r="F912" s="100"/>
      <c r="G912" s="100"/>
      <c r="H912" s="148"/>
      <c r="I912" s="100"/>
      <c r="J912" s="100"/>
      <c r="K912" s="100"/>
      <c r="L912" s="100"/>
      <c r="M912" s="100"/>
    </row>
    <row r="913" spans="4:13" s="104" customFormat="1">
      <c r="D913" s="148"/>
      <c r="E913" s="100"/>
      <c r="F913" s="100"/>
      <c r="G913" s="100"/>
      <c r="H913" s="148"/>
      <c r="I913" s="100"/>
      <c r="J913" s="100"/>
      <c r="K913" s="100"/>
      <c r="L913" s="100"/>
      <c r="M913" s="100"/>
    </row>
    <row r="914" spans="4:13" s="104" customFormat="1">
      <c r="D914" s="148"/>
      <c r="E914" s="100"/>
      <c r="F914" s="100"/>
      <c r="G914" s="100"/>
      <c r="H914" s="148"/>
      <c r="I914" s="100"/>
      <c r="J914" s="100"/>
      <c r="K914" s="100"/>
      <c r="L914" s="100"/>
      <c r="M914" s="100"/>
    </row>
    <row r="915" spans="4:13" s="104" customFormat="1">
      <c r="D915" s="148"/>
      <c r="E915" s="100"/>
      <c r="F915" s="100"/>
      <c r="G915" s="100"/>
      <c r="H915" s="148"/>
      <c r="I915" s="100"/>
      <c r="J915" s="100"/>
      <c r="K915" s="100"/>
      <c r="L915" s="100"/>
      <c r="M915" s="100"/>
    </row>
    <row r="916" spans="4:13" s="104" customFormat="1">
      <c r="D916" s="148"/>
      <c r="E916" s="100"/>
      <c r="F916" s="100"/>
      <c r="G916" s="100"/>
      <c r="H916" s="148"/>
      <c r="I916" s="100"/>
      <c r="J916" s="100"/>
      <c r="K916" s="100"/>
      <c r="L916" s="100"/>
      <c r="M916" s="100"/>
    </row>
    <row r="917" spans="4:13" s="104" customFormat="1">
      <c r="D917" s="148"/>
      <c r="E917" s="100"/>
      <c r="F917" s="100"/>
      <c r="G917" s="100"/>
      <c r="H917" s="148"/>
      <c r="I917" s="100"/>
      <c r="J917" s="100"/>
      <c r="K917" s="100"/>
      <c r="L917" s="100"/>
      <c r="M917" s="100"/>
    </row>
    <row r="918" spans="4:13" s="104" customFormat="1">
      <c r="D918" s="148"/>
      <c r="E918" s="100"/>
      <c r="F918" s="100"/>
      <c r="G918" s="100"/>
      <c r="H918" s="148"/>
      <c r="I918" s="100"/>
      <c r="J918" s="100"/>
      <c r="K918" s="100"/>
      <c r="L918" s="100"/>
      <c r="M918" s="100"/>
    </row>
    <row r="919" spans="4:13" s="104" customFormat="1">
      <c r="D919" s="148"/>
      <c r="E919" s="100"/>
      <c r="F919" s="100"/>
      <c r="G919" s="100"/>
      <c r="H919" s="148"/>
      <c r="I919" s="100"/>
      <c r="J919" s="100"/>
      <c r="K919" s="100"/>
      <c r="L919" s="100"/>
      <c r="M919" s="100"/>
    </row>
    <row r="920" spans="4:13" s="104" customFormat="1">
      <c r="D920" s="148"/>
      <c r="E920" s="100"/>
      <c r="F920" s="100"/>
      <c r="G920" s="100"/>
      <c r="H920" s="148"/>
      <c r="I920" s="100"/>
      <c r="J920" s="100"/>
      <c r="K920" s="100"/>
      <c r="L920" s="100"/>
      <c r="M920" s="100"/>
    </row>
    <row r="921" spans="4:13" s="104" customFormat="1">
      <c r="D921" s="148"/>
      <c r="E921" s="100"/>
      <c r="F921" s="100"/>
      <c r="G921" s="100"/>
      <c r="H921" s="148"/>
      <c r="I921" s="100"/>
      <c r="J921" s="100"/>
      <c r="K921" s="100"/>
      <c r="L921" s="100"/>
      <c r="M921" s="100"/>
    </row>
    <row r="922" spans="4:13" s="104" customFormat="1">
      <c r="D922" s="148"/>
      <c r="E922" s="100"/>
      <c r="F922" s="100"/>
      <c r="G922" s="100"/>
      <c r="H922" s="148"/>
      <c r="I922" s="100"/>
      <c r="J922" s="100"/>
      <c r="K922" s="100"/>
      <c r="L922" s="100"/>
      <c r="M922" s="100"/>
    </row>
    <row r="923" spans="4:13" s="104" customFormat="1">
      <c r="D923" s="148"/>
      <c r="E923" s="100"/>
      <c r="F923" s="100"/>
      <c r="G923" s="100"/>
      <c r="H923" s="148"/>
      <c r="I923" s="100"/>
      <c r="J923" s="100"/>
      <c r="K923" s="100"/>
      <c r="L923" s="100"/>
      <c r="M923" s="100"/>
    </row>
    <row r="924" spans="4:13" s="104" customFormat="1">
      <c r="D924" s="148"/>
      <c r="E924" s="100"/>
      <c r="F924" s="100"/>
      <c r="G924" s="100"/>
      <c r="H924" s="148"/>
      <c r="I924" s="100"/>
      <c r="J924" s="100"/>
      <c r="K924" s="100"/>
      <c r="L924" s="100"/>
      <c r="M924" s="100"/>
    </row>
    <row r="925" spans="4:13" s="104" customFormat="1">
      <c r="D925" s="148"/>
      <c r="E925" s="100"/>
      <c r="F925" s="100"/>
      <c r="G925" s="100"/>
      <c r="H925" s="148"/>
      <c r="I925" s="100"/>
      <c r="J925" s="100"/>
      <c r="K925" s="100"/>
      <c r="L925" s="100"/>
      <c r="M925" s="100"/>
    </row>
    <row r="926" spans="4:13" s="104" customFormat="1">
      <c r="D926" s="148"/>
      <c r="E926" s="100"/>
      <c r="F926" s="100"/>
      <c r="G926" s="100"/>
      <c r="H926" s="148"/>
      <c r="I926" s="100"/>
      <c r="J926" s="100"/>
      <c r="K926" s="100"/>
      <c r="L926" s="100"/>
      <c r="M926" s="100"/>
    </row>
    <row r="927" spans="4:13" s="104" customFormat="1">
      <c r="D927" s="148"/>
      <c r="E927" s="100"/>
      <c r="F927" s="100"/>
      <c r="G927" s="100"/>
      <c r="H927" s="148"/>
      <c r="I927" s="100"/>
      <c r="J927" s="100"/>
      <c r="K927" s="100"/>
      <c r="L927" s="100"/>
      <c r="M927" s="100"/>
    </row>
    <row r="928" spans="4:13" s="104" customFormat="1">
      <c r="D928" s="148"/>
      <c r="E928" s="100"/>
      <c r="F928" s="100"/>
      <c r="G928" s="100"/>
      <c r="H928" s="148"/>
      <c r="I928" s="100"/>
      <c r="J928" s="100"/>
      <c r="K928" s="100"/>
      <c r="L928" s="100"/>
      <c r="M928" s="100"/>
    </row>
    <row r="929" spans="4:13" s="104" customFormat="1">
      <c r="D929" s="148"/>
      <c r="E929" s="100"/>
      <c r="F929" s="100"/>
      <c r="G929" s="100"/>
      <c r="H929" s="148"/>
      <c r="I929" s="100"/>
      <c r="J929" s="100"/>
      <c r="K929" s="100"/>
      <c r="L929" s="100"/>
      <c r="M929" s="100"/>
    </row>
    <row r="930" spans="4:13" s="104" customFormat="1">
      <c r="D930" s="148"/>
      <c r="E930" s="100"/>
      <c r="F930" s="100"/>
      <c r="G930" s="100"/>
      <c r="H930" s="148"/>
      <c r="I930" s="100"/>
      <c r="J930" s="100"/>
      <c r="K930" s="100"/>
      <c r="L930" s="100"/>
      <c r="M930" s="100"/>
    </row>
    <row r="931" spans="4:13" s="104" customFormat="1">
      <c r="D931" s="148"/>
      <c r="E931" s="100"/>
      <c r="F931" s="100"/>
      <c r="G931" s="100"/>
      <c r="H931" s="148"/>
      <c r="I931" s="100"/>
      <c r="J931" s="100"/>
      <c r="K931" s="100"/>
      <c r="L931" s="100"/>
      <c r="M931" s="100"/>
    </row>
    <row r="932" spans="4:13" s="104" customFormat="1">
      <c r="D932" s="148"/>
      <c r="E932" s="100"/>
      <c r="F932" s="100"/>
      <c r="G932" s="100"/>
      <c r="H932" s="148"/>
      <c r="I932" s="100"/>
      <c r="J932" s="100"/>
      <c r="K932" s="100"/>
      <c r="L932" s="100"/>
      <c r="M932" s="100"/>
    </row>
    <row r="933" spans="4:13" s="104" customFormat="1">
      <c r="D933" s="148"/>
      <c r="E933" s="100"/>
      <c r="F933" s="100"/>
      <c r="G933" s="100"/>
      <c r="H933" s="148"/>
      <c r="I933" s="100"/>
      <c r="J933" s="100"/>
      <c r="K933" s="100"/>
      <c r="L933" s="100"/>
      <c r="M933" s="100"/>
    </row>
    <row r="934" spans="4:13" s="104" customFormat="1">
      <c r="D934" s="148"/>
      <c r="E934" s="100"/>
      <c r="F934" s="100"/>
      <c r="G934" s="100"/>
      <c r="H934" s="148"/>
      <c r="I934" s="100"/>
      <c r="J934" s="100"/>
      <c r="K934" s="100"/>
      <c r="L934" s="100"/>
      <c r="M934" s="100"/>
    </row>
    <row r="935" spans="4:13" s="104" customFormat="1">
      <c r="D935" s="148"/>
      <c r="E935" s="100"/>
      <c r="F935" s="100"/>
      <c r="G935" s="100"/>
      <c r="H935" s="148"/>
      <c r="I935" s="100"/>
      <c r="J935" s="100"/>
      <c r="K935" s="100"/>
      <c r="L935" s="100"/>
      <c r="M935" s="100"/>
    </row>
    <row r="936" spans="4:13" s="104" customFormat="1">
      <c r="D936" s="148"/>
      <c r="E936" s="100"/>
      <c r="F936" s="100"/>
      <c r="G936" s="100"/>
      <c r="H936" s="148"/>
      <c r="I936" s="100"/>
      <c r="J936" s="100"/>
      <c r="K936" s="100"/>
      <c r="L936" s="100"/>
      <c r="M936" s="100"/>
    </row>
    <row r="937" spans="4:13" s="104" customFormat="1">
      <c r="D937" s="148"/>
      <c r="E937" s="100"/>
      <c r="F937" s="100"/>
      <c r="G937" s="100"/>
      <c r="H937" s="148"/>
      <c r="I937" s="100"/>
      <c r="J937" s="100"/>
      <c r="K937" s="100"/>
      <c r="L937" s="100"/>
      <c r="M937" s="100"/>
    </row>
    <row r="938" spans="4:13" s="104" customFormat="1">
      <c r="D938" s="148"/>
      <c r="E938" s="100"/>
      <c r="F938" s="100"/>
      <c r="G938" s="100"/>
      <c r="H938" s="148"/>
      <c r="I938" s="100"/>
      <c r="J938" s="100"/>
      <c r="K938" s="100"/>
      <c r="L938" s="100"/>
      <c r="M938" s="100"/>
    </row>
    <row r="939" spans="4:13" s="104" customFormat="1">
      <c r="D939" s="148"/>
      <c r="E939" s="100"/>
      <c r="F939" s="100"/>
      <c r="G939" s="100"/>
      <c r="H939" s="148"/>
      <c r="I939" s="100"/>
      <c r="J939" s="100"/>
      <c r="K939" s="100"/>
      <c r="L939" s="100"/>
      <c r="M939" s="100"/>
    </row>
    <row r="940" spans="4:13" s="104" customFormat="1">
      <c r="D940" s="148"/>
      <c r="E940" s="100"/>
      <c r="F940" s="100"/>
      <c r="G940" s="100"/>
      <c r="H940" s="148"/>
      <c r="I940" s="100"/>
      <c r="J940" s="100"/>
      <c r="K940" s="100"/>
      <c r="L940" s="100"/>
      <c r="M940" s="100"/>
    </row>
    <row r="941" spans="4:13" s="104" customFormat="1">
      <c r="D941" s="148"/>
      <c r="E941" s="100"/>
      <c r="F941" s="100"/>
      <c r="G941" s="100"/>
      <c r="H941" s="148"/>
      <c r="I941" s="100"/>
      <c r="J941" s="100"/>
      <c r="K941" s="100"/>
      <c r="L941" s="100"/>
      <c r="M941" s="100"/>
    </row>
    <row r="942" spans="4:13" s="104" customFormat="1">
      <c r="D942" s="148"/>
      <c r="E942" s="100"/>
      <c r="F942" s="100"/>
      <c r="G942" s="100"/>
      <c r="H942" s="148"/>
      <c r="I942" s="100"/>
      <c r="J942" s="100"/>
      <c r="K942" s="100"/>
      <c r="L942" s="100"/>
      <c r="M942" s="100"/>
    </row>
    <row r="943" spans="4:13" s="104" customFormat="1">
      <c r="D943" s="148"/>
      <c r="E943" s="100"/>
      <c r="F943" s="100"/>
      <c r="G943" s="100"/>
      <c r="H943" s="148"/>
      <c r="I943" s="100"/>
      <c r="J943" s="100"/>
      <c r="K943" s="100"/>
      <c r="L943" s="100"/>
      <c r="M943" s="100"/>
    </row>
    <row r="944" spans="4:13" s="104" customFormat="1">
      <c r="D944" s="148"/>
      <c r="E944" s="100"/>
      <c r="F944" s="100"/>
      <c r="G944" s="100"/>
      <c r="H944" s="148"/>
      <c r="I944" s="100"/>
      <c r="J944" s="100"/>
      <c r="K944" s="100"/>
      <c r="L944" s="100"/>
      <c r="M944" s="100"/>
    </row>
    <row r="945" spans="4:13" s="104" customFormat="1">
      <c r="D945" s="148"/>
      <c r="E945" s="100"/>
      <c r="F945" s="100"/>
      <c r="G945" s="100"/>
      <c r="H945" s="148"/>
      <c r="I945" s="100"/>
      <c r="J945" s="100"/>
      <c r="K945" s="100"/>
      <c r="L945" s="100"/>
      <c r="M945" s="100"/>
    </row>
    <row r="946" spans="4:13" s="104" customFormat="1">
      <c r="D946" s="148"/>
      <c r="E946" s="100"/>
      <c r="F946" s="100"/>
      <c r="G946" s="100"/>
      <c r="H946" s="148"/>
      <c r="I946" s="100"/>
      <c r="J946" s="100"/>
      <c r="K946" s="100"/>
      <c r="L946" s="100"/>
      <c r="M946" s="100"/>
    </row>
    <row r="947" spans="4:13" s="104" customFormat="1">
      <c r="D947" s="148"/>
      <c r="E947" s="100"/>
      <c r="F947" s="100"/>
      <c r="G947" s="100"/>
      <c r="H947" s="148"/>
      <c r="I947" s="100"/>
      <c r="J947" s="100"/>
      <c r="K947" s="100"/>
      <c r="L947" s="100"/>
      <c r="M947" s="100"/>
    </row>
    <row r="948" spans="4:13" s="104" customFormat="1">
      <c r="D948" s="148"/>
      <c r="E948" s="100"/>
      <c r="F948" s="100"/>
      <c r="G948" s="100"/>
      <c r="H948" s="148"/>
      <c r="I948" s="100"/>
      <c r="J948" s="100"/>
      <c r="K948" s="100"/>
      <c r="L948" s="100"/>
      <c r="M948" s="100"/>
    </row>
    <row r="949" spans="4:13" s="104" customFormat="1">
      <c r="D949" s="148"/>
      <c r="E949" s="100"/>
      <c r="F949" s="100"/>
      <c r="G949" s="100"/>
      <c r="H949" s="148"/>
      <c r="I949" s="100"/>
      <c r="J949" s="100"/>
      <c r="K949" s="100"/>
      <c r="L949" s="100"/>
      <c r="M949" s="100"/>
    </row>
    <row r="950" spans="4:13" s="104" customFormat="1">
      <c r="D950" s="148"/>
      <c r="E950" s="100"/>
      <c r="F950" s="100"/>
      <c r="G950" s="100"/>
      <c r="H950" s="148"/>
      <c r="I950" s="100"/>
      <c r="J950" s="100"/>
      <c r="K950" s="100"/>
      <c r="L950" s="100"/>
      <c r="M950" s="100"/>
    </row>
    <row r="951" spans="4:13" s="104" customFormat="1">
      <c r="D951" s="148"/>
      <c r="E951" s="100"/>
      <c r="F951" s="100"/>
      <c r="G951" s="100"/>
      <c r="H951" s="148"/>
      <c r="I951" s="100"/>
      <c r="J951" s="100"/>
      <c r="K951" s="100"/>
      <c r="L951" s="100"/>
      <c r="M951" s="100"/>
    </row>
    <row r="952" spans="4:13" s="104" customFormat="1">
      <c r="D952" s="148"/>
      <c r="E952" s="100"/>
      <c r="F952" s="100"/>
      <c r="G952" s="100"/>
      <c r="H952" s="148"/>
      <c r="I952" s="100"/>
      <c r="J952" s="100"/>
      <c r="K952" s="100"/>
      <c r="L952" s="100"/>
      <c r="M952" s="100"/>
    </row>
    <row r="953" spans="4:13" s="104" customFormat="1">
      <c r="D953" s="148"/>
      <c r="E953" s="100"/>
      <c r="F953" s="100"/>
      <c r="G953" s="100"/>
      <c r="H953" s="148"/>
      <c r="I953" s="100"/>
      <c r="J953" s="100"/>
      <c r="K953" s="100"/>
      <c r="L953" s="100"/>
      <c r="M953" s="100"/>
    </row>
    <row r="954" spans="4:13" s="104" customFormat="1">
      <c r="D954" s="148"/>
      <c r="E954" s="100"/>
      <c r="F954" s="100"/>
      <c r="G954" s="100"/>
      <c r="H954" s="148"/>
      <c r="I954" s="100"/>
      <c r="J954" s="100"/>
      <c r="K954" s="100"/>
      <c r="L954" s="100"/>
      <c r="M954" s="100"/>
    </row>
    <row r="955" spans="4:13" s="104" customFormat="1">
      <c r="D955" s="148"/>
      <c r="E955" s="100"/>
      <c r="F955" s="100"/>
      <c r="G955" s="100"/>
      <c r="H955" s="148"/>
      <c r="I955" s="100"/>
      <c r="J955" s="100"/>
      <c r="K955" s="100"/>
      <c r="L955" s="100"/>
      <c r="M955" s="100"/>
    </row>
    <row r="956" spans="4:13" s="104" customFormat="1">
      <c r="D956" s="148"/>
      <c r="E956" s="100"/>
      <c r="F956" s="100"/>
      <c r="G956" s="100"/>
      <c r="H956" s="148"/>
      <c r="I956" s="100"/>
      <c r="J956" s="100"/>
      <c r="K956" s="100"/>
      <c r="L956" s="100"/>
      <c r="M956" s="100"/>
    </row>
    <row r="957" spans="4:13" s="104" customFormat="1">
      <c r="D957" s="148"/>
      <c r="E957" s="100"/>
      <c r="F957" s="100"/>
      <c r="G957" s="100"/>
      <c r="H957" s="148"/>
      <c r="I957" s="100"/>
      <c r="J957" s="100"/>
      <c r="K957" s="100"/>
      <c r="L957" s="100"/>
      <c r="M957" s="100"/>
    </row>
    <row r="958" spans="4:13" s="104" customFormat="1">
      <c r="D958" s="148"/>
      <c r="E958" s="100"/>
      <c r="F958" s="100"/>
      <c r="G958" s="100"/>
      <c r="H958" s="148"/>
      <c r="I958" s="100"/>
      <c r="J958" s="100"/>
      <c r="K958" s="100"/>
      <c r="L958" s="100"/>
      <c r="M958" s="100"/>
    </row>
    <row r="959" spans="4:13" s="104" customFormat="1">
      <c r="D959" s="148"/>
      <c r="E959" s="100"/>
      <c r="F959" s="100"/>
      <c r="G959" s="100"/>
      <c r="H959" s="148"/>
      <c r="I959" s="100"/>
      <c r="J959" s="100"/>
      <c r="K959" s="100"/>
      <c r="L959" s="100"/>
      <c r="M959" s="100"/>
    </row>
    <row r="960" spans="4:13" s="104" customFormat="1">
      <c r="D960" s="148"/>
      <c r="E960" s="100"/>
      <c r="F960" s="100"/>
      <c r="G960" s="100"/>
      <c r="H960" s="148"/>
      <c r="I960" s="100"/>
      <c r="J960" s="100"/>
      <c r="K960" s="100"/>
      <c r="L960" s="100"/>
      <c r="M960" s="100"/>
    </row>
    <row r="961" spans="4:13" s="104" customFormat="1">
      <c r="D961" s="148"/>
      <c r="E961" s="100"/>
      <c r="F961" s="100"/>
      <c r="G961" s="100"/>
      <c r="H961" s="148"/>
      <c r="I961" s="100"/>
      <c r="J961" s="100"/>
      <c r="K961" s="100"/>
      <c r="L961" s="100"/>
      <c r="M961" s="100"/>
    </row>
    <row r="962" spans="4:13" s="104" customFormat="1">
      <c r="D962" s="148"/>
      <c r="E962" s="100"/>
      <c r="F962" s="100"/>
      <c r="G962" s="100"/>
      <c r="H962" s="148"/>
      <c r="I962" s="100"/>
      <c r="J962" s="100"/>
      <c r="K962" s="100"/>
      <c r="L962" s="100"/>
      <c r="M962" s="100"/>
    </row>
    <row r="963" spans="4:13" s="104" customFormat="1">
      <c r="D963" s="148"/>
      <c r="E963" s="100"/>
      <c r="F963" s="100"/>
      <c r="G963" s="100"/>
      <c r="H963" s="148"/>
      <c r="I963" s="100"/>
      <c r="J963" s="100"/>
      <c r="K963" s="100"/>
      <c r="L963" s="100"/>
      <c r="M963" s="100"/>
    </row>
    <row r="964" spans="4:13" s="104" customFormat="1">
      <c r="D964" s="148"/>
      <c r="E964" s="100"/>
      <c r="F964" s="100"/>
      <c r="G964" s="100"/>
      <c r="H964" s="148"/>
      <c r="I964" s="100"/>
      <c r="J964" s="100"/>
      <c r="K964" s="100"/>
      <c r="L964" s="100"/>
      <c r="M964" s="100"/>
    </row>
    <row r="965" spans="4:13" s="104" customFormat="1">
      <c r="D965" s="148"/>
      <c r="E965" s="100"/>
      <c r="F965" s="100"/>
      <c r="G965" s="100"/>
      <c r="H965" s="148"/>
      <c r="I965" s="100"/>
      <c r="J965" s="100"/>
      <c r="K965" s="100"/>
      <c r="L965" s="100"/>
      <c r="M965" s="100"/>
    </row>
    <row r="966" spans="4:13" s="104" customFormat="1">
      <c r="D966" s="148"/>
      <c r="E966" s="100"/>
      <c r="F966" s="100"/>
      <c r="G966" s="100"/>
      <c r="H966" s="148"/>
      <c r="I966" s="100"/>
      <c r="J966" s="100"/>
      <c r="K966" s="100"/>
      <c r="L966" s="100"/>
      <c r="M966" s="100"/>
    </row>
    <row r="967" spans="4:13" s="104" customFormat="1">
      <c r="D967" s="148"/>
      <c r="E967" s="100"/>
      <c r="F967" s="100"/>
      <c r="G967" s="100"/>
      <c r="H967" s="148"/>
      <c r="I967" s="100"/>
      <c r="J967" s="100"/>
      <c r="K967" s="100"/>
      <c r="L967" s="100"/>
      <c r="M967" s="100"/>
    </row>
    <row r="968" spans="4:13" s="104" customFormat="1">
      <c r="D968" s="148"/>
      <c r="E968" s="100"/>
      <c r="F968" s="100"/>
      <c r="G968" s="100"/>
      <c r="H968" s="148"/>
      <c r="I968" s="100"/>
      <c r="J968" s="100"/>
      <c r="K968" s="100"/>
      <c r="L968" s="100"/>
      <c r="M968" s="100"/>
    </row>
    <row r="969" spans="4:13" s="104" customFormat="1">
      <c r="D969" s="148"/>
      <c r="E969" s="100"/>
      <c r="F969" s="100"/>
      <c r="G969" s="100"/>
      <c r="H969" s="148"/>
      <c r="I969" s="100"/>
      <c r="J969" s="100"/>
      <c r="K969" s="100"/>
      <c r="L969" s="100"/>
      <c r="M969" s="100"/>
    </row>
    <row r="970" spans="4:13" s="104" customFormat="1">
      <c r="D970" s="148"/>
      <c r="E970" s="100"/>
      <c r="F970" s="100"/>
      <c r="G970" s="100"/>
      <c r="H970" s="148"/>
      <c r="I970" s="100"/>
      <c r="J970" s="100"/>
      <c r="K970" s="100"/>
      <c r="L970" s="100"/>
      <c r="M970" s="100"/>
    </row>
    <row r="971" spans="4:13" s="104" customFormat="1">
      <c r="D971" s="148"/>
      <c r="E971" s="100"/>
      <c r="F971" s="100"/>
      <c r="G971" s="100"/>
      <c r="H971" s="148"/>
      <c r="I971" s="100"/>
      <c r="J971" s="100"/>
      <c r="K971" s="100"/>
      <c r="L971" s="100"/>
      <c r="M971" s="100"/>
    </row>
    <row r="972" spans="4:13" s="104" customFormat="1">
      <c r="D972" s="148"/>
      <c r="E972" s="100"/>
      <c r="F972" s="100"/>
      <c r="G972" s="100"/>
      <c r="H972" s="148"/>
      <c r="I972" s="100"/>
      <c r="J972" s="100"/>
      <c r="K972" s="100"/>
      <c r="L972" s="100"/>
      <c r="M972" s="100"/>
    </row>
    <row r="973" spans="4:13" s="104" customFormat="1">
      <c r="D973" s="148"/>
      <c r="E973" s="100"/>
      <c r="F973" s="100"/>
      <c r="G973" s="100"/>
      <c r="H973" s="148"/>
      <c r="I973" s="100"/>
      <c r="J973" s="100"/>
      <c r="K973" s="100"/>
      <c r="L973" s="100"/>
      <c r="M973" s="100"/>
    </row>
    <row r="974" spans="4:13" s="104" customFormat="1">
      <c r="D974" s="148"/>
      <c r="E974" s="100"/>
      <c r="F974" s="100"/>
      <c r="G974" s="100"/>
      <c r="H974" s="148"/>
      <c r="I974" s="100"/>
      <c r="J974" s="100"/>
      <c r="K974" s="100"/>
      <c r="L974" s="100"/>
      <c r="M974" s="100"/>
    </row>
    <row r="975" spans="4:13" s="104" customFormat="1">
      <c r="D975" s="148"/>
      <c r="E975" s="100"/>
      <c r="F975" s="100"/>
      <c r="G975" s="100"/>
      <c r="H975" s="148"/>
      <c r="I975" s="100"/>
      <c r="J975" s="100"/>
      <c r="K975" s="100"/>
      <c r="L975" s="100"/>
      <c r="M975" s="100"/>
    </row>
    <row r="976" spans="4:13" s="104" customFormat="1">
      <c r="D976" s="148"/>
      <c r="E976" s="100"/>
      <c r="F976" s="100"/>
      <c r="G976" s="100"/>
      <c r="H976" s="148"/>
      <c r="I976" s="100"/>
      <c r="J976" s="100"/>
      <c r="K976" s="100"/>
      <c r="L976" s="100"/>
      <c r="M976" s="100"/>
    </row>
    <row r="977" spans="4:13" s="104" customFormat="1">
      <c r="D977" s="148"/>
      <c r="E977" s="100"/>
      <c r="F977" s="100"/>
      <c r="G977" s="100"/>
      <c r="H977" s="148"/>
      <c r="I977" s="100"/>
      <c r="J977" s="100"/>
      <c r="K977" s="100"/>
      <c r="L977" s="100"/>
      <c r="M977" s="100"/>
    </row>
    <row r="978" spans="4:13" s="104" customFormat="1">
      <c r="D978" s="148"/>
      <c r="E978" s="100"/>
      <c r="F978" s="100"/>
      <c r="G978" s="100"/>
      <c r="H978" s="148"/>
      <c r="I978" s="100"/>
      <c r="J978" s="100"/>
      <c r="K978" s="100"/>
      <c r="L978" s="100"/>
      <c r="M978" s="100"/>
    </row>
    <row r="979" spans="4:13" s="104" customFormat="1">
      <c r="D979" s="148"/>
      <c r="E979" s="100"/>
      <c r="F979" s="100"/>
      <c r="G979" s="100"/>
      <c r="H979" s="148"/>
      <c r="I979" s="100"/>
      <c r="J979" s="100"/>
      <c r="K979" s="100"/>
      <c r="L979" s="100"/>
      <c r="M979" s="100"/>
    </row>
    <row r="980" spans="4:13" s="104" customFormat="1">
      <c r="D980" s="148"/>
      <c r="E980" s="100"/>
      <c r="F980" s="100"/>
      <c r="G980" s="100"/>
      <c r="H980" s="148"/>
      <c r="I980" s="100"/>
      <c r="J980" s="100"/>
      <c r="K980" s="100"/>
      <c r="L980" s="100"/>
      <c r="M980" s="100"/>
    </row>
    <row r="981" spans="4:13" s="104" customFormat="1">
      <c r="D981" s="148"/>
      <c r="E981" s="100"/>
      <c r="F981" s="100"/>
      <c r="G981" s="100"/>
      <c r="H981" s="148"/>
      <c r="I981" s="100"/>
      <c r="J981" s="100"/>
      <c r="K981" s="100"/>
      <c r="L981" s="100"/>
      <c r="M981" s="100"/>
    </row>
    <row r="982" spans="4:13" s="104" customFormat="1">
      <c r="D982" s="148"/>
      <c r="E982" s="100"/>
      <c r="F982" s="100"/>
      <c r="G982" s="100"/>
      <c r="H982" s="148"/>
      <c r="I982" s="100"/>
      <c r="J982" s="100"/>
      <c r="K982" s="100"/>
      <c r="L982" s="100"/>
      <c r="M982" s="100"/>
    </row>
    <row r="983" spans="4:13" s="104" customFormat="1">
      <c r="D983" s="148"/>
      <c r="E983" s="100"/>
      <c r="F983" s="100"/>
      <c r="G983" s="100"/>
      <c r="H983" s="148"/>
      <c r="I983" s="100"/>
      <c r="J983" s="100"/>
      <c r="K983" s="100"/>
      <c r="L983" s="100"/>
      <c r="M983" s="100"/>
    </row>
    <row r="984" spans="4:13" s="104" customFormat="1">
      <c r="D984" s="148"/>
      <c r="E984" s="100"/>
      <c r="F984" s="100"/>
      <c r="G984" s="100"/>
      <c r="H984" s="148"/>
      <c r="I984" s="100"/>
      <c r="J984" s="100"/>
      <c r="K984" s="100"/>
      <c r="L984" s="100"/>
      <c r="M984" s="100"/>
    </row>
    <row r="985" spans="4:13" s="104" customFormat="1">
      <c r="D985" s="148"/>
      <c r="E985" s="100"/>
      <c r="F985" s="100"/>
      <c r="G985" s="100"/>
      <c r="H985" s="148"/>
      <c r="I985" s="100"/>
      <c r="J985" s="100"/>
      <c r="K985" s="100"/>
      <c r="L985" s="100"/>
      <c r="M985" s="100"/>
    </row>
    <row r="986" spans="4:13" s="104" customFormat="1">
      <c r="D986" s="148"/>
      <c r="E986" s="100"/>
      <c r="F986" s="100"/>
      <c r="G986" s="100"/>
      <c r="H986" s="148"/>
      <c r="I986" s="100"/>
      <c r="J986" s="100"/>
      <c r="K986" s="100"/>
      <c r="L986" s="100"/>
      <c r="M986" s="100"/>
    </row>
    <row r="987" spans="4:13" s="104" customFormat="1">
      <c r="D987" s="148"/>
      <c r="E987" s="100"/>
      <c r="F987" s="100"/>
      <c r="G987" s="100"/>
      <c r="H987" s="148"/>
      <c r="I987" s="100"/>
      <c r="J987" s="100"/>
      <c r="K987" s="100"/>
      <c r="L987" s="100"/>
      <c r="M987" s="100"/>
    </row>
    <row r="988" spans="4:13" s="104" customFormat="1">
      <c r="D988" s="148"/>
      <c r="E988" s="100"/>
      <c r="F988" s="100"/>
      <c r="G988" s="100"/>
      <c r="H988" s="148"/>
      <c r="I988" s="100"/>
      <c r="J988" s="100"/>
      <c r="K988" s="100"/>
      <c r="L988" s="100"/>
      <c r="M988" s="100"/>
    </row>
    <row r="989" spans="4:13" s="104" customFormat="1">
      <c r="D989" s="148"/>
      <c r="E989" s="100"/>
      <c r="F989" s="100"/>
      <c r="G989" s="100"/>
      <c r="H989" s="148"/>
      <c r="I989" s="100"/>
      <c r="J989" s="100"/>
      <c r="K989" s="100"/>
      <c r="L989" s="100"/>
      <c r="M989" s="100"/>
    </row>
    <row r="990" spans="4:13" s="104" customFormat="1">
      <c r="D990" s="148"/>
      <c r="E990" s="100"/>
      <c r="F990" s="100"/>
      <c r="G990" s="100"/>
      <c r="H990" s="148"/>
      <c r="I990" s="100"/>
      <c r="J990" s="100"/>
      <c r="K990" s="100"/>
      <c r="L990" s="100"/>
      <c r="M990" s="100"/>
    </row>
    <row r="991" spans="4:13" s="104" customFormat="1">
      <c r="D991" s="148"/>
      <c r="E991" s="100"/>
      <c r="F991" s="100"/>
      <c r="G991" s="100"/>
      <c r="H991" s="148"/>
      <c r="I991" s="100"/>
      <c r="J991" s="100"/>
      <c r="K991" s="100"/>
      <c r="L991" s="100"/>
      <c r="M991" s="100"/>
    </row>
    <row r="992" spans="4:13" s="104" customFormat="1">
      <c r="D992" s="148"/>
      <c r="E992" s="100"/>
      <c r="F992" s="100"/>
      <c r="G992" s="100"/>
      <c r="H992" s="148"/>
      <c r="I992" s="100"/>
      <c r="J992" s="100"/>
      <c r="K992" s="100"/>
      <c r="L992" s="100"/>
      <c r="M992" s="100"/>
    </row>
    <row r="993" spans="4:13" s="104" customFormat="1">
      <c r="D993" s="148"/>
      <c r="E993" s="100"/>
      <c r="F993" s="100"/>
      <c r="G993" s="100"/>
      <c r="H993" s="148"/>
      <c r="I993" s="100"/>
      <c r="J993" s="100"/>
      <c r="K993" s="100"/>
      <c r="L993" s="100"/>
      <c r="M993" s="100"/>
    </row>
    <row r="994" spans="4:13" s="104" customFormat="1">
      <c r="D994" s="148"/>
      <c r="E994" s="100"/>
      <c r="F994" s="100"/>
      <c r="G994" s="100"/>
      <c r="H994" s="148"/>
      <c r="I994" s="100"/>
      <c r="J994" s="100"/>
      <c r="K994" s="100"/>
      <c r="L994" s="100"/>
      <c r="M994" s="100"/>
    </row>
    <row r="995" spans="4:13" s="104" customFormat="1">
      <c r="D995" s="148"/>
      <c r="E995" s="100"/>
      <c r="F995" s="100"/>
      <c r="G995" s="100"/>
      <c r="H995" s="148"/>
      <c r="I995" s="100"/>
      <c r="J995" s="100"/>
      <c r="K995" s="100"/>
      <c r="L995" s="100"/>
      <c r="M995" s="100"/>
    </row>
    <row r="996" spans="4:13" s="104" customFormat="1">
      <c r="D996" s="148"/>
      <c r="E996" s="100"/>
      <c r="F996" s="100"/>
      <c r="G996" s="100"/>
      <c r="H996" s="148"/>
      <c r="I996" s="100"/>
      <c r="J996" s="100"/>
      <c r="K996" s="100"/>
      <c r="L996" s="100"/>
      <c r="M996" s="100"/>
    </row>
    <row r="997" spans="4:13" s="104" customFormat="1">
      <c r="D997" s="148"/>
      <c r="E997" s="100"/>
      <c r="F997" s="100"/>
      <c r="G997" s="100"/>
      <c r="H997" s="148"/>
      <c r="I997" s="100"/>
      <c r="J997" s="100"/>
      <c r="K997" s="100"/>
      <c r="L997" s="100"/>
      <c r="M997" s="100"/>
    </row>
    <row r="998" spans="4:13" s="104" customFormat="1">
      <c r="D998" s="148"/>
      <c r="E998" s="100"/>
      <c r="F998" s="100"/>
      <c r="G998" s="100"/>
      <c r="H998" s="148"/>
      <c r="I998" s="100"/>
      <c r="J998" s="100"/>
      <c r="K998" s="100"/>
      <c r="L998" s="100"/>
      <c r="M998" s="100"/>
    </row>
    <row r="999" spans="4:13" s="104" customFormat="1">
      <c r="D999" s="148"/>
      <c r="E999" s="100"/>
      <c r="F999" s="100"/>
      <c r="G999" s="100"/>
      <c r="H999" s="148"/>
      <c r="I999" s="100"/>
      <c r="J999" s="100"/>
      <c r="K999" s="100"/>
      <c r="L999" s="100"/>
      <c r="M999" s="100"/>
    </row>
    <row r="1000" spans="4:13" s="104" customFormat="1">
      <c r="D1000" s="148"/>
      <c r="E1000" s="100"/>
      <c r="F1000" s="100"/>
      <c r="G1000" s="100"/>
      <c r="H1000" s="148"/>
      <c r="I1000" s="100"/>
      <c r="J1000" s="100"/>
      <c r="K1000" s="100"/>
      <c r="L1000" s="100"/>
      <c r="M1000" s="100"/>
    </row>
    <row r="1001" spans="4:13" s="104" customFormat="1">
      <c r="D1001" s="148"/>
      <c r="E1001" s="100"/>
      <c r="F1001" s="100"/>
      <c r="G1001" s="100"/>
      <c r="H1001" s="148"/>
      <c r="I1001" s="100"/>
      <c r="J1001" s="100"/>
      <c r="K1001" s="100"/>
      <c r="L1001" s="100"/>
      <c r="M1001" s="100"/>
    </row>
    <row r="1002" spans="4:13" s="104" customFormat="1">
      <c r="D1002" s="148"/>
      <c r="E1002" s="100"/>
      <c r="F1002" s="100"/>
      <c r="G1002" s="100"/>
      <c r="H1002" s="148"/>
      <c r="I1002" s="100"/>
      <c r="J1002" s="100"/>
      <c r="K1002" s="100"/>
      <c r="L1002" s="100"/>
      <c r="M1002" s="100"/>
    </row>
    <row r="1003" spans="4:13" s="104" customFormat="1">
      <c r="D1003" s="148"/>
      <c r="E1003" s="100"/>
      <c r="F1003" s="100"/>
      <c r="G1003" s="100"/>
      <c r="H1003" s="148"/>
      <c r="I1003" s="100"/>
      <c r="J1003" s="100"/>
      <c r="K1003" s="100"/>
      <c r="L1003" s="100"/>
      <c r="M1003" s="100"/>
    </row>
    <row r="1004" spans="4:13" s="104" customFormat="1">
      <c r="D1004" s="148"/>
      <c r="E1004" s="100"/>
      <c r="F1004" s="100"/>
      <c r="G1004" s="100"/>
      <c r="H1004" s="148"/>
      <c r="I1004" s="100"/>
      <c r="J1004" s="100"/>
      <c r="K1004" s="100"/>
      <c r="L1004" s="100"/>
      <c r="M1004" s="100"/>
    </row>
    <row r="1005" spans="4:13" s="104" customFormat="1">
      <c r="D1005" s="148"/>
      <c r="E1005" s="100"/>
      <c r="F1005" s="100"/>
      <c r="G1005" s="100"/>
      <c r="H1005" s="148"/>
      <c r="I1005" s="100"/>
      <c r="J1005" s="100"/>
      <c r="K1005" s="100"/>
      <c r="L1005" s="100"/>
      <c r="M1005" s="100"/>
    </row>
    <row r="1006" spans="4:13" s="104" customFormat="1">
      <c r="D1006" s="148"/>
      <c r="E1006" s="100"/>
      <c r="F1006" s="100"/>
      <c r="G1006" s="100"/>
      <c r="H1006" s="148"/>
      <c r="I1006" s="100"/>
      <c r="J1006" s="100"/>
      <c r="K1006" s="100"/>
      <c r="L1006" s="100"/>
      <c r="M1006" s="100"/>
    </row>
    <row r="1007" spans="4:13" s="104" customFormat="1">
      <c r="D1007" s="148"/>
      <c r="E1007" s="100"/>
      <c r="F1007" s="100"/>
      <c r="G1007" s="100"/>
      <c r="H1007" s="148"/>
      <c r="I1007" s="100"/>
      <c r="J1007" s="100"/>
      <c r="K1007" s="100"/>
      <c r="L1007" s="100"/>
      <c r="M1007" s="100"/>
    </row>
    <row r="1008" spans="4:13" s="104" customFormat="1">
      <c r="D1008" s="148"/>
      <c r="E1008" s="100"/>
      <c r="F1008" s="100"/>
      <c r="G1008" s="100"/>
      <c r="H1008" s="148"/>
      <c r="I1008" s="100"/>
      <c r="J1008" s="100"/>
      <c r="K1008" s="100"/>
      <c r="L1008" s="100"/>
      <c r="M1008" s="100"/>
    </row>
    <row r="1009" spans="4:13" s="104" customFormat="1">
      <c r="D1009" s="148"/>
      <c r="E1009" s="100"/>
      <c r="F1009" s="100"/>
      <c r="G1009" s="100"/>
      <c r="H1009" s="148"/>
      <c r="I1009" s="100"/>
      <c r="J1009" s="100"/>
      <c r="K1009" s="100"/>
      <c r="L1009" s="100"/>
      <c r="M1009" s="100"/>
    </row>
    <row r="1010" spans="4:13" s="104" customFormat="1">
      <c r="D1010" s="148"/>
      <c r="E1010" s="100"/>
      <c r="F1010" s="100"/>
      <c r="G1010" s="100"/>
      <c r="H1010" s="148"/>
      <c r="I1010" s="100"/>
      <c r="J1010" s="100"/>
      <c r="K1010" s="100"/>
      <c r="L1010" s="100"/>
      <c r="M1010" s="100"/>
    </row>
    <row r="1011" spans="4:13" s="104" customFormat="1">
      <c r="D1011" s="148"/>
      <c r="E1011" s="100"/>
      <c r="F1011" s="100"/>
      <c r="G1011" s="100"/>
      <c r="H1011" s="148"/>
      <c r="I1011" s="100"/>
      <c r="J1011" s="100"/>
      <c r="K1011" s="100"/>
      <c r="L1011" s="100"/>
      <c r="M1011" s="100"/>
    </row>
    <row r="1012" spans="4:13" s="104" customFormat="1">
      <c r="D1012" s="148"/>
      <c r="E1012" s="100"/>
      <c r="F1012" s="100"/>
      <c r="G1012" s="100"/>
      <c r="H1012" s="148"/>
      <c r="I1012" s="100"/>
      <c r="J1012" s="100"/>
      <c r="K1012" s="100"/>
      <c r="L1012" s="100"/>
      <c r="M1012" s="100"/>
    </row>
    <row r="1013" spans="4:13" s="104" customFormat="1">
      <c r="D1013" s="148"/>
      <c r="E1013" s="100"/>
      <c r="F1013" s="100"/>
      <c r="G1013" s="100"/>
      <c r="H1013" s="148"/>
      <c r="I1013" s="100"/>
      <c r="J1013" s="100"/>
      <c r="K1013" s="100"/>
      <c r="L1013" s="100"/>
      <c r="M1013" s="100"/>
    </row>
    <row r="1014" spans="4:13" s="104" customFormat="1">
      <c r="D1014" s="148"/>
      <c r="E1014" s="100"/>
      <c r="F1014" s="100"/>
      <c r="G1014" s="100"/>
      <c r="H1014" s="148"/>
      <c r="I1014" s="100"/>
      <c r="J1014" s="100"/>
      <c r="K1014" s="100"/>
      <c r="L1014" s="100"/>
      <c r="M1014" s="100"/>
    </row>
    <row r="1015" spans="4:13" s="104" customFormat="1">
      <c r="D1015" s="148"/>
      <c r="E1015" s="100"/>
      <c r="F1015" s="100"/>
      <c r="G1015" s="100"/>
      <c r="H1015" s="148"/>
      <c r="I1015" s="100"/>
      <c r="J1015" s="100"/>
      <c r="K1015" s="100"/>
      <c r="L1015" s="100"/>
      <c r="M1015" s="100"/>
    </row>
    <row r="1016" spans="4:13" s="104" customFormat="1">
      <c r="D1016" s="148"/>
      <c r="E1016" s="100"/>
      <c r="F1016" s="100"/>
      <c r="G1016" s="100"/>
      <c r="H1016" s="148"/>
      <c r="I1016" s="100"/>
      <c r="J1016" s="100"/>
      <c r="K1016" s="100"/>
      <c r="L1016" s="100"/>
      <c r="M1016" s="100"/>
    </row>
    <row r="1017" spans="4:13" s="104" customFormat="1">
      <c r="D1017" s="148"/>
      <c r="E1017" s="100"/>
      <c r="F1017" s="100"/>
      <c r="G1017" s="100"/>
      <c r="H1017" s="148"/>
      <c r="I1017" s="100"/>
      <c r="J1017" s="100"/>
      <c r="K1017" s="100"/>
      <c r="L1017" s="100"/>
      <c r="M1017" s="100"/>
    </row>
    <row r="1018" spans="4:13" s="104" customFormat="1">
      <c r="D1018" s="148"/>
      <c r="E1018" s="100"/>
      <c r="F1018" s="100"/>
      <c r="G1018" s="100"/>
      <c r="H1018" s="148"/>
      <c r="I1018" s="100"/>
      <c r="J1018" s="100"/>
      <c r="K1018" s="100"/>
      <c r="L1018" s="100"/>
      <c r="M1018" s="100"/>
    </row>
    <row r="1019" spans="4:13" s="104" customFormat="1">
      <c r="D1019" s="148"/>
      <c r="E1019" s="100"/>
      <c r="F1019" s="100"/>
      <c r="G1019" s="100"/>
      <c r="H1019" s="148"/>
      <c r="I1019" s="100"/>
      <c r="J1019" s="100"/>
      <c r="K1019" s="100"/>
      <c r="L1019" s="100"/>
      <c r="M1019" s="100"/>
    </row>
    <row r="1020" spans="4:13" s="104" customFormat="1">
      <c r="D1020" s="148"/>
      <c r="E1020" s="100"/>
      <c r="F1020" s="100"/>
      <c r="G1020" s="100"/>
      <c r="H1020" s="148"/>
      <c r="I1020" s="100"/>
      <c r="J1020" s="100"/>
      <c r="K1020" s="100"/>
      <c r="L1020" s="100"/>
      <c r="M1020" s="100"/>
    </row>
    <row r="1021" spans="4:13" s="104" customFormat="1">
      <c r="D1021" s="148"/>
      <c r="E1021" s="100"/>
      <c r="F1021" s="100"/>
      <c r="G1021" s="100"/>
      <c r="H1021" s="148"/>
      <c r="I1021" s="100"/>
      <c r="J1021" s="100"/>
      <c r="K1021" s="100"/>
      <c r="L1021" s="100"/>
      <c r="M1021" s="100"/>
    </row>
    <row r="1022" spans="4:13" s="104" customFormat="1">
      <c r="D1022" s="148"/>
      <c r="E1022" s="100"/>
      <c r="F1022" s="100"/>
      <c r="G1022" s="100"/>
      <c r="H1022" s="148"/>
      <c r="I1022" s="100"/>
      <c r="J1022" s="100"/>
      <c r="K1022" s="100"/>
      <c r="L1022" s="100"/>
      <c r="M1022" s="100"/>
    </row>
    <row r="1023" spans="4:13" s="104" customFormat="1">
      <c r="D1023" s="148"/>
      <c r="E1023" s="100"/>
      <c r="F1023" s="100"/>
      <c r="G1023" s="100"/>
      <c r="H1023" s="148"/>
      <c r="I1023" s="100"/>
      <c r="J1023" s="100"/>
      <c r="K1023" s="100"/>
      <c r="L1023" s="100"/>
      <c r="M1023" s="100"/>
    </row>
    <row r="1024" spans="4:13" s="104" customFormat="1">
      <c r="D1024" s="148"/>
      <c r="E1024" s="100"/>
      <c r="F1024" s="100"/>
      <c r="G1024" s="100"/>
      <c r="H1024" s="148"/>
      <c r="I1024" s="100"/>
      <c r="J1024" s="100"/>
      <c r="K1024" s="100"/>
      <c r="L1024" s="100"/>
      <c r="M1024" s="100"/>
    </row>
    <row r="1025" spans="4:13" s="104" customFormat="1">
      <c r="D1025" s="148"/>
      <c r="E1025" s="100"/>
      <c r="F1025" s="100"/>
      <c r="G1025" s="100"/>
      <c r="H1025" s="148"/>
      <c r="I1025" s="100"/>
      <c r="J1025" s="100"/>
      <c r="K1025" s="100"/>
      <c r="L1025" s="100"/>
      <c r="M1025" s="100"/>
    </row>
    <row r="1026" spans="4:13" s="104" customFormat="1">
      <c r="D1026" s="148"/>
      <c r="E1026" s="100"/>
      <c r="F1026" s="100"/>
      <c r="G1026" s="100"/>
      <c r="H1026" s="148"/>
      <c r="I1026" s="100"/>
      <c r="J1026" s="100"/>
      <c r="K1026" s="100"/>
      <c r="L1026" s="100"/>
      <c r="M1026" s="100"/>
    </row>
    <row r="1027" spans="4:13" s="104" customFormat="1">
      <c r="D1027" s="148"/>
      <c r="E1027" s="100"/>
      <c r="F1027" s="100"/>
      <c r="G1027" s="100"/>
      <c r="H1027" s="148"/>
      <c r="I1027" s="100"/>
      <c r="J1027" s="100"/>
      <c r="K1027" s="100"/>
      <c r="L1027" s="100"/>
      <c r="M1027" s="100"/>
    </row>
    <row r="1028" spans="4:13" s="104" customFormat="1">
      <c r="D1028" s="148"/>
      <c r="E1028" s="100"/>
      <c r="F1028" s="100"/>
      <c r="G1028" s="100"/>
      <c r="H1028" s="148"/>
      <c r="I1028" s="100"/>
      <c r="J1028" s="100"/>
      <c r="K1028" s="100"/>
      <c r="L1028" s="100"/>
      <c r="M1028" s="100"/>
    </row>
    <row r="1029" spans="4:13" s="104" customFormat="1">
      <c r="D1029" s="148"/>
      <c r="E1029" s="100"/>
      <c r="F1029" s="100"/>
      <c r="G1029" s="100"/>
      <c r="H1029" s="148"/>
      <c r="I1029" s="100"/>
      <c r="J1029" s="100"/>
      <c r="K1029" s="100"/>
      <c r="L1029" s="100"/>
      <c r="M1029" s="100"/>
    </row>
    <row r="1030" spans="4:13" s="104" customFormat="1">
      <c r="D1030" s="148"/>
      <c r="E1030" s="100"/>
      <c r="F1030" s="100"/>
      <c r="G1030" s="100"/>
      <c r="H1030" s="148"/>
      <c r="I1030" s="100"/>
      <c r="J1030" s="100"/>
      <c r="K1030" s="100"/>
      <c r="L1030" s="100"/>
      <c r="M1030" s="100"/>
    </row>
    <row r="1031" spans="4:13" s="104" customFormat="1">
      <c r="D1031" s="148"/>
      <c r="E1031" s="100"/>
      <c r="F1031" s="100"/>
      <c r="G1031" s="100"/>
      <c r="H1031" s="148"/>
      <c r="I1031" s="100"/>
      <c r="J1031" s="100"/>
      <c r="K1031" s="100"/>
      <c r="L1031" s="100"/>
      <c r="M1031" s="100"/>
    </row>
    <row r="1032" spans="4:13" s="104" customFormat="1">
      <c r="D1032" s="148"/>
      <c r="E1032" s="100"/>
      <c r="F1032" s="100"/>
      <c r="G1032" s="100"/>
      <c r="H1032" s="148"/>
      <c r="I1032" s="100"/>
      <c r="J1032" s="100"/>
      <c r="K1032" s="100"/>
      <c r="L1032" s="100"/>
      <c r="M1032" s="100"/>
    </row>
    <row r="1033" spans="4:13" s="104" customFormat="1">
      <c r="D1033" s="148"/>
      <c r="E1033" s="100"/>
      <c r="F1033" s="100"/>
      <c r="G1033" s="100"/>
      <c r="H1033" s="148"/>
      <c r="I1033" s="100"/>
      <c r="J1033" s="100"/>
      <c r="K1033" s="100"/>
      <c r="L1033" s="100"/>
      <c r="M1033" s="100"/>
    </row>
    <row r="1034" spans="4:13" s="104" customFormat="1">
      <c r="D1034" s="148"/>
      <c r="E1034" s="100"/>
      <c r="F1034" s="100"/>
      <c r="G1034" s="100"/>
      <c r="H1034" s="148"/>
      <c r="I1034" s="100"/>
      <c r="J1034" s="100"/>
      <c r="K1034" s="100"/>
      <c r="L1034" s="100"/>
      <c r="M1034" s="100"/>
    </row>
    <row r="1035" spans="4:13" s="104" customFormat="1">
      <c r="D1035" s="148"/>
      <c r="E1035" s="100"/>
      <c r="F1035" s="100"/>
      <c r="G1035" s="100"/>
      <c r="H1035" s="148"/>
      <c r="I1035" s="100"/>
      <c r="J1035" s="100"/>
      <c r="K1035" s="100"/>
      <c r="L1035" s="100"/>
      <c r="M1035" s="100"/>
    </row>
    <row r="1036" spans="4:13" s="104" customFormat="1">
      <c r="D1036" s="148"/>
      <c r="E1036" s="100"/>
      <c r="F1036" s="100"/>
      <c r="G1036" s="100"/>
      <c r="H1036" s="148"/>
      <c r="I1036" s="100"/>
      <c r="J1036" s="100"/>
      <c r="K1036" s="100"/>
      <c r="L1036" s="100"/>
      <c r="M1036" s="100"/>
    </row>
    <row r="1037" spans="4:13" s="104" customFormat="1">
      <c r="D1037" s="148"/>
      <c r="E1037" s="100"/>
      <c r="F1037" s="100"/>
      <c r="G1037" s="100"/>
      <c r="H1037" s="148"/>
      <c r="I1037" s="100"/>
      <c r="J1037" s="100"/>
      <c r="K1037" s="100"/>
      <c r="L1037" s="100"/>
      <c r="M1037" s="100"/>
    </row>
    <row r="1038" spans="4:13" s="104" customFormat="1">
      <c r="D1038" s="148"/>
      <c r="E1038" s="100"/>
      <c r="F1038" s="100"/>
      <c r="G1038" s="100"/>
      <c r="H1038" s="148"/>
      <c r="I1038" s="100"/>
      <c r="J1038" s="100"/>
      <c r="K1038" s="100"/>
      <c r="L1038" s="100"/>
      <c r="M1038" s="100"/>
    </row>
    <row r="1039" spans="4:13" s="104" customFormat="1">
      <c r="D1039" s="148"/>
      <c r="E1039" s="100"/>
      <c r="F1039" s="100"/>
      <c r="G1039" s="100"/>
      <c r="H1039" s="148"/>
      <c r="I1039" s="100"/>
      <c r="J1039" s="100"/>
      <c r="K1039" s="100"/>
      <c r="L1039" s="100"/>
      <c r="M1039" s="100"/>
    </row>
    <row r="1040" spans="4:13" s="104" customFormat="1">
      <c r="D1040" s="148"/>
      <c r="E1040" s="100"/>
      <c r="F1040" s="100"/>
      <c r="G1040" s="100"/>
      <c r="H1040" s="148"/>
      <c r="I1040" s="100"/>
      <c r="J1040" s="100"/>
      <c r="K1040" s="100"/>
      <c r="L1040" s="100"/>
      <c r="M1040" s="100"/>
    </row>
    <row r="1041" spans="4:13" s="104" customFormat="1">
      <c r="D1041" s="148"/>
      <c r="E1041" s="100"/>
      <c r="F1041" s="100"/>
      <c r="G1041" s="100"/>
      <c r="H1041" s="148"/>
      <c r="I1041" s="100"/>
      <c r="J1041" s="100"/>
      <c r="K1041" s="100"/>
      <c r="L1041" s="100"/>
      <c r="M1041" s="100"/>
    </row>
    <row r="1042" spans="4:13" s="104" customFormat="1">
      <c r="D1042" s="148"/>
      <c r="E1042" s="100"/>
      <c r="F1042" s="100"/>
      <c r="G1042" s="100"/>
      <c r="H1042" s="148"/>
      <c r="I1042" s="100"/>
      <c r="J1042" s="100"/>
      <c r="K1042" s="100"/>
      <c r="L1042" s="100"/>
      <c r="M1042" s="100"/>
    </row>
    <row r="1043" spans="4:13" s="104" customFormat="1">
      <c r="D1043" s="148"/>
      <c r="E1043" s="100"/>
      <c r="F1043" s="100"/>
      <c r="G1043" s="100"/>
      <c r="H1043" s="148"/>
      <c r="I1043" s="100"/>
      <c r="J1043" s="100"/>
      <c r="K1043" s="100"/>
      <c r="L1043" s="100"/>
      <c r="M1043" s="100"/>
    </row>
    <row r="1044" spans="4:13" s="104" customFormat="1">
      <c r="D1044" s="148"/>
      <c r="E1044" s="100"/>
      <c r="F1044" s="100"/>
      <c r="G1044" s="100"/>
      <c r="H1044" s="148"/>
      <c r="I1044" s="100"/>
      <c r="J1044" s="100"/>
      <c r="K1044" s="100"/>
      <c r="L1044" s="100"/>
      <c r="M1044" s="100"/>
    </row>
    <row r="1045" spans="4:13" s="104" customFormat="1">
      <c r="D1045" s="148"/>
      <c r="E1045" s="100"/>
      <c r="F1045" s="100"/>
      <c r="G1045" s="100"/>
      <c r="H1045" s="148"/>
      <c r="I1045" s="100"/>
      <c r="J1045" s="100"/>
      <c r="K1045" s="100"/>
      <c r="L1045" s="100"/>
      <c r="M1045" s="100"/>
    </row>
    <row r="1046" spans="4:13" s="104" customFormat="1">
      <c r="D1046" s="148"/>
      <c r="E1046" s="100"/>
      <c r="F1046" s="100"/>
      <c r="G1046" s="100"/>
      <c r="H1046" s="148"/>
      <c r="I1046" s="100"/>
      <c r="J1046" s="100"/>
      <c r="K1046" s="100"/>
      <c r="L1046" s="100"/>
      <c r="M1046" s="100"/>
    </row>
    <row r="1047" spans="4:13" s="104" customFormat="1">
      <c r="D1047" s="148"/>
      <c r="E1047" s="100"/>
      <c r="F1047" s="100"/>
      <c r="G1047" s="100"/>
      <c r="H1047" s="148"/>
      <c r="I1047" s="100"/>
      <c r="J1047" s="100"/>
      <c r="K1047" s="100"/>
      <c r="L1047" s="100"/>
      <c r="M1047" s="100"/>
    </row>
    <row r="1048" spans="4:13" s="104" customFormat="1">
      <c r="D1048" s="148"/>
      <c r="E1048" s="100"/>
      <c r="F1048" s="100"/>
      <c r="G1048" s="100"/>
      <c r="H1048" s="148"/>
      <c r="I1048" s="100"/>
      <c r="J1048" s="100"/>
      <c r="K1048" s="100"/>
      <c r="L1048" s="100"/>
      <c r="M1048" s="100"/>
    </row>
    <row r="1049" spans="4:13" s="104" customFormat="1">
      <c r="D1049" s="148"/>
      <c r="E1049" s="100"/>
      <c r="F1049" s="100"/>
      <c r="G1049" s="100"/>
      <c r="H1049" s="148"/>
      <c r="I1049" s="100"/>
      <c r="J1049" s="100"/>
      <c r="K1049" s="100"/>
      <c r="L1049" s="100"/>
      <c r="M1049" s="100"/>
    </row>
    <row r="1050" spans="4:13" s="104" customFormat="1">
      <c r="D1050" s="148"/>
      <c r="E1050" s="100"/>
      <c r="F1050" s="100"/>
      <c r="G1050" s="100"/>
      <c r="H1050" s="148"/>
      <c r="I1050" s="100"/>
      <c r="J1050" s="100"/>
      <c r="K1050" s="100"/>
      <c r="L1050" s="100"/>
      <c r="M1050" s="100"/>
    </row>
    <row r="1051" spans="4:13" s="104" customFormat="1">
      <c r="D1051" s="148"/>
      <c r="E1051" s="100"/>
      <c r="F1051" s="100"/>
      <c r="G1051" s="100"/>
      <c r="H1051" s="148"/>
      <c r="I1051" s="100"/>
      <c r="J1051" s="100"/>
      <c r="K1051" s="100"/>
      <c r="L1051" s="100"/>
      <c r="M1051" s="100"/>
    </row>
    <row r="1052" spans="4:13" s="104" customFormat="1">
      <c r="D1052" s="148"/>
      <c r="E1052" s="100"/>
      <c r="F1052" s="100"/>
      <c r="G1052" s="100"/>
      <c r="H1052" s="148"/>
      <c r="I1052" s="100"/>
      <c r="J1052" s="100"/>
      <c r="K1052" s="100"/>
      <c r="L1052" s="100"/>
      <c r="M1052" s="100"/>
    </row>
    <row r="1053" spans="4:13" s="104" customFormat="1">
      <c r="D1053" s="148"/>
      <c r="E1053" s="100"/>
      <c r="F1053" s="100"/>
      <c r="G1053" s="100"/>
      <c r="H1053" s="148"/>
      <c r="I1053" s="100"/>
      <c r="J1053" s="100"/>
      <c r="K1053" s="100"/>
      <c r="L1053" s="100"/>
      <c r="M1053" s="100"/>
    </row>
    <row r="1054" spans="4:13" s="104" customFormat="1">
      <c r="D1054" s="148"/>
      <c r="E1054" s="100"/>
      <c r="F1054" s="100"/>
      <c r="G1054" s="100"/>
      <c r="H1054" s="148"/>
      <c r="I1054" s="100"/>
      <c r="J1054" s="100"/>
      <c r="K1054" s="100"/>
      <c r="L1054" s="100"/>
      <c r="M1054" s="100"/>
    </row>
    <row r="1055" spans="4:13" s="104" customFormat="1">
      <c r="D1055" s="148"/>
      <c r="E1055" s="100"/>
      <c r="F1055" s="100"/>
      <c r="G1055" s="100"/>
      <c r="H1055" s="148"/>
      <c r="I1055" s="100"/>
      <c r="J1055" s="100"/>
      <c r="K1055" s="100"/>
      <c r="L1055" s="100"/>
      <c r="M1055" s="100"/>
    </row>
    <row r="1056" spans="4:13" s="104" customFormat="1">
      <c r="D1056" s="148"/>
      <c r="E1056" s="100"/>
      <c r="F1056" s="100"/>
      <c r="G1056" s="100"/>
      <c r="H1056" s="148"/>
      <c r="I1056" s="100"/>
      <c r="J1056" s="100"/>
      <c r="K1056" s="100"/>
      <c r="L1056" s="100"/>
      <c r="M1056" s="100"/>
    </row>
    <row r="1057" spans="4:13" s="104" customFormat="1">
      <c r="D1057" s="148"/>
      <c r="E1057" s="100"/>
      <c r="F1057" s="100"/>
      <c r="G1057" s="100"/>
      <c r="H1057" s="148"/>
      <c r="I1057" s="100"/>
      <c r="J1057" s="100"/>
      <c r="K1057" s="100"/>
      <c r="L1057" s="100"/>
      <c r="M1057" s="100"/>
    </row>
    <row r="1058" spans="4:13" s="104" customFormat="1">
      <c r="D1058" s="148"/>
      <c r="E1058" s="100"/>
      <c r="F1058" s="100"/>
      <c r="G1058" s="100"/>
      <c r="H1058" s="148"/>
      <c r="I1058" s="100"/>
      <c r="J1058" s="100"/>
      <c r="K1058" s="100"/>
      <c r="L1058" s="100"/>
      <c r="M1058" s="100"/>
    </row>
    <row r="1059" spans="4:13" s="104" customFormat="1">
      <c r="D1059" s="148"/>
      <c r="E1059" s="100"/>
      <c r="F1059" s="100"/>
      <c r="G1059" s="100"/>
      <c r="H1059" s="148"/>
      <c r="I1059" s="100"/>
      <c r="J1059" s="100"/>
      <c r="K1059" s="100"/>
      <c r="L1059" s="100"/>
      <c r="M1059" s="100"/>
    </row>
    <row r="1060" spans="4:13" s="104" customFormat="1">
      <c r="D1060" s="148"/>
      <c r="E1060" s="100"/>
      <c r="F1060" s="100"/>
      <c r="G1060" s="100"/>
      <c r="H1060" s="148"/>
      <c r="I1060" s="100"/>
      <c r="J1060" s="100"/>
      <c r="K1060" s="100"/>
      <c r="L1060" s="100"/>
      <c r="M1060" s="100"/>
    </row>
    <row r="1061" spans="4:13" s="104" customFormat="1">
      <c r="D1061" s="148"/>
      <c r="E1061" s="100"/>
      <c r="F1061" s="100"/>
      <c r="G1061" s="100"/>
      <c r="H1061" s="148"/>
      <c r="I1061" s="100"/>
      <c r="J1061" s="100"/>
      <c r="K1061" s="100"/>
      <c r="L1061" s="100"/>
      <c r="M1061" s="100"/>
    </row>
    <row r="1062" spans="4:13" s="104" customFormat="1">
      <c r="D1062" s="148"/>
      <c r="E1062" s="100"/>
      <c r="F1062" s="100"/>
      <c r="G1062" s="100"/>
      <c r="H1062" s="148"/>
      <c r="I1062" s="100"/>
      <c r="J1062" s="100"/>
      <c r="K1062" s="100"/>
      <c r="L1062" s="100"/>
      <c r="M1062" s="100"/>
    </row>
    <row r="1063" spans="4:13" s="104" customFormat="1">
      <c r="D1063" s="148"/>
      <c r="E1063" s="100"/>
      <c r="F1063" s="100"/>
      <c r="G1063" s="100"/>
      <c r="H1063" s="148"/>
      <c r="I1063" s="100"/>
      <c r="J1063" s="100"/>
      <c r="K1063" s="100"/>
      <c r="L1063" s="100"/>
      <c r="M1063" s="100"/>
    </row>
    <row r="1064" spans="4:13" s="104" customFormat="1">
      <c r="D1064" s="148"/>
      <c r="E1064" s="100"/>
      <c r="F1064" s="100"/>
      <c r="G1064" s="100"/>
      <c r="H1064" s="148"/>
      <c r="I1064" s="100"/>
      <c r="J1064" s="100"/>
      <c r="K1064" s="100"/>
      <c r="L1064" s="100"/>
      <c r="M1064" s="100"/>
    </row>
    <row r="1065" spans="4:13" s="104" customFormat="1">
      <c r="D1065" s="148"/>
      <c r="E1065" s="100"/>
      <c r="F1065" s="100"/>
      <c r="G1065" s="100"/>
      <c r="H1065" s="148"/>
      <c r="I1065" s="100"/>
      <c r="J1065" s="100"/>
      <c r="K1065" s="100"/>
      <c r="L1065" s="100"/>
      <c r="M1065" s="100"/>
    </row>
    <row r="1066" spans="4:13" s="104" customFormat="1">
      <c r="D1066" s="148"/>
      <c r="E1066" s="100"/>
      <c r="F1066" s="100"/>
      <c r="G1066" s="100"/>
      <c r="H1066" s="148"/>
      <c r="I1066" s="100"/>
      <c r="J1066" s="100"/>
      <c r="K1066" s="100"/>
      <c r="L1066" s="100"/>
      <c r="M1066" s="100"/>
    </row>
    <row r="1067" spans="4:13" s="104" customFormat="1">
      <c r="D1067" s="148"/>
      <c r="E1067" s="100"/>
      <c r="F1067" s="100"/>
      <c r="G1067" s="100"/>
      <c r="H1067" s="148"/>
      <c r="I1067" s="100"/>
      <c r="J1067" s="100"/>
      <c r="K1067" s="100"/>
      <c r="L1067" s="100"/>
      <c r="M1067" s="100"/>
    </row>
    <row r="1068" spans="4:13" s="104" customFormat="1">
      <c r="D1068" s="148"/>
      <c r="E1068" s="100"/>
      <c r="F1068" s="100"/>
      <c r="G1068" s="100"/>
      <c r="H1068" s="148"/>
      <c r="I1068" s="100"/>
      <c r="J1068" s="100"/>
      <c r="K1068" s="100"/>
      <c r="L1068" s="100"/>
      <c r="M1068" s="100"/>
    </row>
    <row r="1069" spans="4:13" s="104" customFormat="1">
      <c r="D1069" s="148"/>
      <c r="E1069" s="100"/>
      <c r="F1069" s="100"/>
      <c r="G1069" s="100"/>
      <c r="H1069" s="148"/>
      <c r="I1069" s="100"/>
      <c r="J1069" s="100"/>
      <c r="K1069" s="100"/>
      <c r="L1069" s="100"/>
      <c r="M1069" s="100"/>
    </row>
    <row r="1070" spans="4:13" s="104" customFormat="1">
      <c r="D1070" s="148"/>
      <c r="E1070" s="100"/>
      <c r="F1070" s="100"/>
      <c r="G1070" s="100"/>
      <c r="H1070" s="148"/>
      <c r="I1070" s="100"/>
      <c r="J1070" s="100"/>
      <c r="K1070" s="100"/>
      <c r="L1070" s="100"/>
      <c r="M1070" s="100"/>
    </row>
    <row r="1071" spans="4:13" s="104" customFormat="1">
      <c r="D1071" s="148"/>
      <c r="E1071" s="100"/>
      <c r="F1071" s="100"/>
      <c r="G1071" s="100"/>
      <c r="H1071" s="148"/>
      <c r="I1071" s="100"/>
      <c r="J1071" s="100"/>
      <c r="K1071" s="100"/>
      <c r="L1071" s="100"/>
      <c r="M1071" s="100"/>
    </row>
    <row r="1072" spans="4:13" s="104" customFormat="1">
      <c r="D1072" s="148"/>
      <c r="E1072" s="100"/>
      <c r="F1072" s="100"/>
      <c r="G1072" s="100"/>
      <c r="H1072" s="148"/>
      <c r="I1072" s="100"/>
      <c r="J1072" s="100"/>
      <c r="K1072" s="100"/>
      <c r="L1072" s="100"/>
      <c r="M1072" s="100"/>
    </row>
    <row r="1073" spans="4:13" s="104" customFormat="1">
      <c r="D1073" s="148"/>
      <c r="E1073" s="100"/>
      <c r="F1073" s="100"/>
      <c r="G1073" s="100"/>
      <c r="H1073" s="148"/>
      <c r="I1073" s="100"/>
      <c r="J1073" s="100"/>
      <c r="K1073" s="100"/>
      <c r="L1073" s="100"/>
      <c r="M1073" s="100"/>
    </row>
    <row r="1074" spans="4:13" s="104" customFormat="1">
      <c r="D1074" s="148"/>
      <c r="E1074" s="100"/>
      <c r="F1074" s="100"/>
      <c r="G1074" s="100"/>
      <c r="H1074" s="148"/>
      <c r="I1074" s="100"/>
      <c r="J1074" s="100"/>
      <c r="K1074" s="100"/>
      <c r="L1074" s="100"/>
      <c r="M1074" s="100"/>
    </row>
    <row r="1075" spans="4:13" s="104" customFormat="1">
      <c r="D1075" s="148"/>
      <c r="E1075" s="100"/>
      <c r="F1075" s="100"/>
      <c r="G1075" s="100"/>
      <c r="H1075" s="148"/>
      <c r="I1075" s="100"/>
      <c r="J1075" s="100"/>
      <c r="K1075" s="100"/>
      <c r="L1075" s="100"/>
      <c r="M1075" s="100"/>
    </row>
    <row r="1076" spans="4:13" s="104" customFormat="1">
      <c r="D1076" s="148"/>
      <c r="E1076" s="100"/>
      <c r="F1076" s="100"/>
      <c r="G1076" s="100"/>
      <c r="H1076" s="148"/>
      <c r="I1076" s="100"/>
      <c r="J1076" s="100"/>
      <c r="K1076" s="100"/>
      <c r="L1076" s="100"/>
      <c r="M1076" s="100"/>
    </row>
    <row r="1077" spans="4:13" s="104" customFormat="1">
      <c r="D1077" s="148"/>
      <c r="E1077" s="100"/>
      <c r="F1077" s="100"/>
      <c r="G1077" s="100"/>
      <c r="H1077" s="148"/>
      <c r="I1077" s="100"/>
      <c r="J1077" s="100"/>
      <c r="K1077" s="100"/>
      <c r="L1077" s="100"/>
      <c r="M1077" s="100"/>
    </row>
    <row r="1078" spans="4:13" s="104" customFormat="1">
      <c r="D1078" s="148"/>
      <c r="E1078" s="100"/>
      <c r="F1078" s="100"/>
      <c r="G1078" s="100"/>
      <c r="H1078" s="148"/>
      <c r="I1078" s="100"/>
      <c r="J1078" s="100"/>
      <c r="K1078" s="100"/>
      <c r="L1078" s="100"/>
      <c r="M1078" s="100"/>
    </row>
    <row r="1079" spans="4:13" s="104" customFormat="1">
      <c r="D1079" s="148"/>
      <c r="E1079" s="100"/>
      <c r="F1079" s="100"/>
      <c r="G1079" s="100"/>
      <c r="H1079" s="148"/>
      <c r="I1079" s="100"/>
      <c r="J1079" s="100"/>
      <c r="K1079" s="100"/>
      <c r="L1079" s="100"/>
      <c r="M1079" s="100"/>
    </row>
    <row r="1080" spans="4:13" s="104" customFormat="1">
      <c r="D1080" s="148"/>
      <c r="E1080" s="100"/>
      <c r="F1080" s="100"/>
      <c r="G1080" s="100"/>
      <c r="H1080" s="148"/>
      <c r="I1080" s="100"/>
      <c r="J1080" s="100"/>
      <c r="K1080" s="100"/>
      <c r="L1080" s="100"/>
      <c r="M1080" s="100"/>
    </row>
    <row r="1081" spans="4:13" s="104" customFormat="1">
      <c r="D1081" s="148"/>
      <c r="E1081" s="100"/>
      <c r="F1081" s="100"/>
      <c r="G1081" s="100"/>
      <c r="H1081" s="148"/>
      <c r="I1081" s="100"/>
      <c r="J1081" s="100"/>
      <c r="K1081" s="100"/>
      <c r="L1081" s="100"/>
      <c r="M1081" s="100"/>
    </row>
    <row r="1082" spans="4:13" s="104" customFormat="1">
      <c r="D1082" s="148"/>
      <c r="E1082" s="100"/>
      <c r="F1082" s="100"/>
      <c r="G1082" s="100"/>
      <c r="H1082" s="148"/>
      <c r="I1082" s="100"/>
      <c r="J1082" s="100"/>
      <c r="K1082" s="100"/>
      <c r="L1082" s="100"/>
      <c r="M1082" s="100"/>
    </row>
    <row r="1083" spans="4:13" s="104" customFormat="1">
      <c r="D1083" s="148"/>
      <c r="E1083" s="100"/>
      <c r="F1083" s="100"/>
      <c r="G1083" s="100"/>
      <c r="H1083" s="148"/>
      <c r="I1083" s="100"/>
      <c r="J1083" s="100"/>
      <c r="K1083" s="100"/>
      <c r="L1083" s="100"/>
      <c r="M1083" s="100"/>
    </row>
    <row r="1084" spans="4:13" s="104" customFormat="1">
      <c r="D1084" s="148"/>
      <c r="E1084" s="100"/>
      <c r="F1084" s="100"/>
      <c r="G1084" s="100"/>
      <c r="H1084" s="148"/>
      <c r="I1084" s="100"/>
      <c r="J1084" s="100"/>
      <c r="K1084" s="100"/>
      <c r="L1084" s="100"/>
      <c r="M1084" s="100"/>
    </row>
    <row r="1085" spans="4:13" s="104" customFormat="1">
      <c r="D1085" s="148"/>
      <c r="E1085" s="100"/>
      <c r="F1085" s="100"/>
      <c r="G1085" s="100"/>
      <c r="H1085" s="148"/>
      <c r="I1085" s="100"/>
      <c r="J1085" s="100"/>
      <c r="K1085" s="100"/>
      <c r="L1085" s="100"/>
      <c r="M1085" s="100"/>
    </row>
    <row r="1086" spans="4:13" s="104" customFormat="1">
      <c r="D1086" s="148"/>
      <c r="E1086" s="100"/>
      <c r="F1086" s="100"/>
      <c r="G1086" s="100"/>
      <c r="H1086" s="148"/>
      <c r="I1086" s="100"/>
      <c r="J1086" s="100"/>
      <c r="K1086" s="100"/>
      <c r="L1086" s="100"/>
      <c r="M1086" s="100"/>
    </row>
    <row r="1087" spans="4:13" s="104" customFormat="1">
      <c r="D1087" s="148"/>
      <c r="E1087" s="100"/>
      <c r="F1087" s="100"/>
      <c r="G1087" s="100"/>
      <c r="H1087" s="148"/>
      <c r="I1087" s="100"/>
      <c r="J1087" s="100"/>
      <c r="K1087" s="100"/>
      <c r="L1087" s="100"/>
      <c r="M1087" s="100"/>
    </row>
    <row r="1088" spans="4:13" s="104" customFormat="1">
      <c r="D1088" s="148"/>
      <c r="E1088" s="100"/>
      <c r="F1088" s="100"/>
      <c r="G1088" s="100"/>
      <c r="H1088" s="148"/>
      <c r="I1088" s="100"/>
      <c r="J1088" s="100"/>
      <c r="K1088" s="100"/>
      <c r="L1088" s="100"/>
      <c r="M1088" s="100"/>
    </row>
    <row r="1089" spans="4:13" s="104" customFormat="1">
      <c r="D1089" s="148"/>
      <c r="E1089" s="100"/>
      <c r="F1089" s="100"/>
      <c r="G1089" s="100"/>
      <c r="H1089" s="148"/>
      <c r="I1089" s="100"/>
      <c r="J1089" s="100"/>
      <c r="K1089" s="100"/>
      <c r="L1089" s="100"/>
      <c r="M1089" s="100"/>
    </row>
    <row r="1090" spans="4:13" s="104" customFormat="1">
      <c r="D1090" s="148"/>
      <c r="E1090" s="100"/>
      <c r="F1090" s="100"/>
      <c r="G1090" s="100"/>
      <c r="H1090" s="148"/>
      <c r="I1090" s="100"/>
      <c r="J1090" s="100"/>
      <c r="K1090" s="100"/>
      <c r="L1090" s="100"/>
      <c r="M1090" s="100"/>
    </row>
    <row r="1091" spans="4:13" s="104" customFormat="1">
      <c r="D1091" s="148"/>
      <c r="E1091" s="100"/>
      <c r="F1091" s="100"/>
      <c r="G1091" s="100"/>
      <c r="H1091" s="148"/>
      <c r="I1091" s="100"/>
      <c r="J1091" s="100"/>
      <c r="K1091" s="100"/>
      <c r="L1091" s="100"/>
      <c r="M1091" s="100"/>
    </row>
    <row r="1092" spans="4:13" s="104" customFormat="1">
      <c r="D1092" s="148"/>
      <c r="E1092" s="100"/>
      <c r="F1092" s="100"/>
      <c r="G1092" s="100"/>
      <c r="H1092" s="148"/>
      <c r="I1092" s="100"/>
      <c r="J1092" s="100"/>
      <c r="K1092" s="100"/>
      <c r="L1092" s="100"/>
      <c r="M1092" s="100"/>
    </row>
    <row r="1093" spans="4:13" s="104" customFormat="1">
      <c r="D1093" s="148"/>
      <c r="E1093" s="100"/>
      <c r="F1093" s="100"/>
      <c r="G1093" s="100"/>
      <c r="H1093" s="148"/>
      <c r="I1093" s="100"/>
      <c r="J1093" s="100"/>
      <c r="K1093" s="100"/>
      <c r="L1093" s="100"/>
      <c r="M1093" s="100"/>
    </row>
    <row r="1094" spans="4:13" s="104" customFormat="1">
      <c r="D1094" s="148"/>
      <c r="E1094" s="100"/>
      <c r="F1094" s="100"/>
      <c r="G1094" s="100"/>
      <c r="H1094" s="148"/>
      <c r="I1094" s="100"/>
      <c r="J1094" s="100"/>
      <c r="K1094" s="100"/>
      <c r="L1094" s="100"/>
      <c r="M1094" s="100"/>
    </row>
    <row r="1095" spans="4:13" s="104" customFormat="1">
      <c r="D1095" s="148"/>
      <c r="E1095" s="100"/>
      <c r="F1095" s="100"/>
      <c r="G1095" s="100"/>
      <c r="H1095" s="148"/>
      <c r="I1095" s="100"/>
      <c r="J1095" s="100"/>
      <c r="K1095" s="100"/>
      <c r="L1095" s="100"/>
      <c r="M1095" s="100"/>
    </row>
    <row r="1096" spans="4:13" s="104" customFormat="1">
      <c r="D1096" s="148"/>
      <c r="E1096" s="100"/>
      <c r="F1096" s="100"/>
      <c r="G1096" s="100"/>
      <c r="H1096" s="148"/>
      <c r="I1096" s="100"/>
      <c r="J1096" s="100"/>
      <c r="K1096" s="100"/>
      <c r="L1096" s="100"/>
      <c r="M1096" s="100"/>
    </row>
    <row r="1097" spans="4:13" s="104" customFormat="1">
      <c r="D1097" s="148"/>
      <c r="E1097" s="100"/>
      <c r="F1097" s="100"/>
      <c r="G1097" s="100"/>
      <c r="H1097" s="148"/>
      <c r="I1097" s="100"/>
      <c r="J1097" s="100"/>
      <c r="K1097" s="100"/>
      <c r="L1097" s="100"/>
      <c r="M1097" s="100"/>
    </row>
    <row r="1098" spans="4:13" s="104" customFormat="1">
      <c r="D1098" s="148"/>
      <c r="E1098" s="100"/>
      <c r="F1098" s="100"/>
      <c r="G1098" s="100"/>
      <c r="H1098" s="148"/>
      <c r="I1098" s="100"/>
      <c r="J1098" s="100"/>
      <c r="K1098" s="100"/>
      <c r="L1098" s="100"/>
      <c r="M1098" s="100"/>
    </row>
    <row r="1099" spans="4:13" s="104" customFormat="1">
      <c r="D1099" s="148"/>
      <c r="E1099" s="100"/>
      <c r="F1099" s="100"/>
      <c r="G1099" s="100"/>
      <c r="H1099" s="148"/>
      <c r="I1099" s="100"/>
      <c r="J1099" s="100"/>
      <c r="K1099" s="100"/>
      <c r="L1099" s="100"/>
      <c r="M1099" s="100"/>
    </row>
    <row r="1100" spans="4:13" s="104" customFormat="1">
      <c r="D1100" s="148"/>
      <c r="E1100" s="100"/>
      <c r="F1100" s="100"/>
      <c r="G1100" s="100"/>
      <c r="H1100" s="148"/>
      <c r="I1100" s="100"/>
      <c r="J1100" s="100"/>
      <c r="K1100" s="100"/>
      <c r="L1100" s="100"/>
      <c r="M1100" s="100"/>
    </row>
    <row r="1101" spans="4:13" s="104" customFormat="1">
      <c r="D1101" s="148"/>
      <c r="E1101" s="100"/>
      <c r="F1101" s="100"/>
      <c r="G1101" s="100"/>
      <c r="H1101" s="148"/>
      <c r="I1101" s="100"/>
      <c r="J1101" s="100"/>
      <c r="K1101" s="100"/>
      <c r="L1101" s="100"/>
      <c r="M1101" s="100"/>
    </row>
    <row r="1102" spans="4:13" s="104" customFormat="1">
      <c r="D1102" s="148"/>
      <c r="E1102" s="100"/>
      <c r="F1102" s="100"/>
      <c r="G1102" s="100"/>
      <c r="H1102" s="148"/>
      <c r="I1102" s="100"/>
      <c r="J1102" s="100"/>
      <c r="K1102" s="100"/>
      <c r="L1102" s="100"/>
      <c r="M1102" s="100"/>
    </row>
    <row r="1103" spans="4:13" s="104" customFormat="1">
      <c r="D1103" s="148"/>
      <c r="E1103" s="100"/>
      <c r="F1103" s="100"/>
      <c r="G1103" s="100"/>
      <c r="H1103" s="148"/>
      <c r="I1103" s="100"/>
      <c r="J1103" s="100"/>
      <c r="K1103" s="100"/>
      <c r="L1103" s="100"/>
      <c r="M1103" s="100"/>
    </row>
    <row r="1104" spans="4:13" s="104" customFormat="1">
      <c r="D1104" s="148"/>
      <c r="E1104" s="100"/>
      <c r="F1104" s="100"/>
      <c r="G1104" s="100"/>
      <c r="H1104" s="148"/>
      <c r="I1104" s="100"/>
      <c r="J1104" s="100"/>
      <c r="K1104" s="100"/>
      <c r="L1104" s="100"/>
      <c r="M1104" s="100"/>
    </row>
    <row r="1105" spans="4:13" s="104" customFormat="1">
      <c r="D1105" s="148"/>
      <c r="E1105" s="100"/>
      <c r="F1105" s="100"/>
      <c r="G1105" s="100"/>
      <c r="H1105" s="148"/>
      <c r="I1105" s="100"/>
      <c r="J1105" s="100"/>
      <c r="K1105" s="100"/>
      <c r="L1105" s="100"/>
      <c r="M1105" s="100"/>
    </row>
    <row r="1106" spans="4:13" s="104" customFormat="1">
      <c r="D1106" s="148"/>
      <c r="E1106" s="100"/>
      <c r="F1106" s="100"/>
      <c r="G1106" s="100"/>
      <c r="H1106" s="148"/>
      <c r="I1106" s="100"/>
      <c r="J1106" s="100"/>
      <c r="K1106" s="100"/>
      <c r="L1106" s="100"/>
      <c r="M1106" s="100"/>
    </row>
    <row r="1107" spans="4:13" s="104" customFormat="1">
      <c r="D1107" s="148"/>
      <c r="E1107" s="100"/>
      <c r="F1107" s="100"/>
      <c r="G1107" s="100"/>
      <c r="H1107" s="148"/>
      <c r="I1107" s="100"/>
      <c r="J1107" s="100"/>
      <c r="K1107" s="100"/>
      <c r="L1107" s="100"/>
      <c r="M1107" s="100"/>
    </row>
    <row r="1108" spans="4:13" s="104" customFormat="1">
      <c r="D1108" s="148"/>
      <c r="E1108" s="100"/>
      <c r="F1108" s="100"/>
      <c r="G1108" s="100"/>
      <c r="H1108" s="148"/>
      <c r="I1108" s="100"/>
      <c r="J1108" s="100"/>
      <c r="K1108" s="100"/>
      <c r="L1108" s="100"/>
      <c r="M1108" s="100"/>
    </row>
    <row r="1109" spans="4:13" s="104" customFormat="1">
      <c r="D1109" s="148"/>
      <c r="E1109" s="100"/>
      <c r="F1109" s="100"/>
      <c r="G1109" s="100"/>
      <c r="H1109" s="148"/>
      <c r="I1109" s="100"/>
      <c r="J1109" s="100"/>
      <c r="K1109" s="100"/>
      <c r="L1109" s="100"/>
      <c r="M1109" s="100"/>
    </row>
    <row r="1110" spans="4:13" s="104" customFormat="1">
      <c r="D1110" s="148"/>
      <c r="E1110" s="100"/>
      <c r="F1110" s="100"/>
      <c r="G1110" s="100"/>
      <c r="H1110" s="148"/>
      <c r="I1110" s="100"/>
      <c r="J1110" s="100"/>
      <c r="K1110" s="100"/>
      <c r="L1110" s="100"/>
      <c r="M1110" s="100"/>
    </row>
    <row r="1111" spans="4:13" s="104" customFormat="1">
      <c r="D1111" s="148"/>
      <c r="E1111" s="100"/>
      <c r="F1111" s="100"/>
      <c r="G1111" s="100"/>
      <c r="H1111" s="148"/>
      <c r="I1111" s="100"/>
      <c r="J1111" s="100"/>
      <c r="K1111" s="100"/>
      <c r="L1111" s="100"/>
      <c r="M1111" s="100"/>
    </row>
    <row r="1112" spans="4:13" s="104" customFormat="1">
      <c r="D1112" s="148"/>
      <c r="E1112" s="100"/>
      <c r="F1112" s="100"/>
      <c r="G1112" s="100"/>
      <c r="H1112" s="148"/>
      <c r="I1112" s="100"/>
      <c r="J1112" s="100"/>
      <c r="K1112" s="100"/>
      <c r="L1112" s="100"/>
      <c r="M1112" s="100"/>
    </row>
    <row r="1113" spans="4:13" s="104" customFormat="1">
      <c r="D1113" s="148"/>
      <c r="E1113" s="100"/>
      <c r="F1113" s="100"/>
      <c r="G1113" s="100"/>
      <c r="H1113" s="148"/>
      <c r="I1113" s="100"/>
      <c r="J1113" s="100"/>
      <c r="K1113" s="100"/>
      <c r="L1113" s="100"/>
      <c r="M1113" s="100"/>
    </row>
    <row r="1114" spans="4:13" s="104" customFormat="1">
      <c r="D1114" s="148"/>
      <c r="E1114" s="100"/>
      <c r="F1114" s="100"/>
      <c r="G1114" s="100"/>
      <c r="H1114" s="148"/>
      <c r="I1114" s="100"/>
      <c r="J1114" s="100"/>
      <c r="K1114" s="100"/>
      <c r="L1114" s="100"/>
      <c r="M1114" s="100"/>
    </row>
    <row r="1115" spans="4:13" s="104" customFormat="1">
      <c r="D1115" s="148"/>
      <c r="E1115" s="100"/>
      <c r="F1115" s="100"/>
      <c r="G1115" s="100"/>
      <c r="H1115" s="148"/>
      <c r="I1115" s="100"/>
      <c r="J1115" s="100"/>
      <c r="K1115" s="100"/>
      <c r="L1115" s="100"/>
      <c r="M1115" s="100"/>
    </row>
    <row r="1116" spans="4:13" s="104" customFormat="1">
      <c r="D1116" s="148"/>
      <c r="E1116" s="100"/>
      <c r="F1116" s="100"/>
      <c r="G1116" s="100"/>
      <c r="H1116" s="148"/>
      <c r="I1116" s="100"/>
      <c r="J1116" s="100"/>
      <c r="K1116" s="100"/>
      <c r="L1116" s="100"/>
      <c r="M1116" s="100"/>
    </row>
    <row r="1117" spans="4:13" s="104" customFormat="1">
      <c r="D1117" s="148"/>
      <c r="E1117" s="100"/>
      <c r="F1117" s="100"/>
      <c r="G1117" s="100"/>
      <c r="H1117" s="148"/>
      <c r="I1117" s="100"/>
      <c r="J1117" s="100"/>
      <c r="K1117" s="100"/>
      <c r="L1117" s="100"/>
      <c r="M1117" s="100"/>
    </row>
    <row r="1118" spans="4:13" s="104" customFormat="1">
      <c r="D1118" s="148"/>
      <c r="E1118" s="100"/>
      <c r="F1118" s="100"/>
      <c r="G1118" s="100"/>
      <c r="H1118" s="148"/>
      <c r="I1118" s="100"/>
      <c r="J1118" s="100"/>
      <c r="K1118" s="100"/>
      <c r="L1118" s="100"/>
      <c r="M1118" s="100"/>
    </row>
    <row r="1119" spans="4:13" s="104" customFormat="1">
      <c r="D1119" s="148"/>
      <c r="E1119" s="100"/>
      <c r="F1119" s="100"/>
      <c r="G1119" s="100"/>
      <c r="H1119" s="148"/>
      <c r="I1119" s="100"/>
      <c r="J1119" s="100"/>
      <c r="K1119" s="100"/>
      <c r="L1119" s="100"/>
      <c r="M1119" s="100"/>
    </row>
    <row r="1120" spans="4:13" s="104" customFormat="1">
      <c r="D1120" s="148"/>
      <c r="E1120" s="100"/>
      <c r="F1120" s="100"/>
      <c r="G1120" s="100"/>
      <c r="H1120" s="148"/>
      <c r="I1120" s="100"/>
      <c r="J1120" s="100"/>
      <c r="K1120" s="100"/>
      <c r="L1120" s="100"/>
      <c r="M1120" s="100"/>
    </row>
    <row r="1121" spans="4:13" s="104" customFormat="1">
      <c r="D1121" s="148"/>
      <c r="E1121" s="100"/>
      <c r="F1121" s="100"/>
      <c r="G1121" s="100"/>
      <c r="H1121" s="148"/>
      <c r="I1121" s="100"/>
      <c r="J1121" s="100"/>
      <c r="K1121" s="100"/>
      <c r="L1121" s="100"/>
      <c r="M1121" s="100"/>
    </row>
    <row r="1122" spans="4:13" s="104" customFormat="1">
      <c r="D1122" s="148"/>
      <c r="E1122" s="100"/>
      <c r="F1122" s="100"/>
      <c r="G1122" s="100"/>
      <c r="H1122" s="148"/>
      <c r="I1122" s="100"/>
      <c r="J1122" s="100"/>
      <c r="K1122" s="100"/>
      <c r="L1122" s="100"/>
      <c r="M1122" s="100"/>
    </row>
    <row r="1123" spans="4:13" s="104" customFormat="1">
      <c r="D1123" s="148"/>
      <c r="E1123" s="100"/>
      <c r="F1123" s="100"/>
      <c r="G1123" s="100"/>
      <c r="H1123" s="148"/>
      <c r="I1123" s="100"/>
      <c r="J1123" s="100"/>
      <c r="K1123" s="100"/>
      <c r="L1123" s="100"/>
      <c r="M1123" s="100"/>
    </row>
    <row r="1124" spans="4:13" s="104" customFormat="1">
      <c r="D1124" s="148"/>
      <c r="E1124" s="100"/>
      <c r="F1124" s="100"/>
      <c r="G1124" s="100"/>
      <c r="H1124" s="148"/>
      <c r="I1124" s="100"/>
      <c r="J1124" s="100"/>
      <c r="K1124" s="100"/>
      <c r="L1124" s="100"/>
      <c r="M1124" s="100"/>
    </row>
    <row r="1125" spans="4:13" s="104" customFormat="1">
      <c r="D1125" s="148"/>
      <c r="E1125" s="100"/>
      <c r="F1125" s="100"/>
      <c r="G1125" s="100"/>
      <c r="H1125" s="148"/>
      <c r="I1125" s="100"/>
      <c r="J1125" s="100"/>
      <c r="K1125" s="100"/>
      <c r="L1125" s="100"/>
      <c r="M1125" s="100"/>
    </row>
    <row r="1126" spans="4:13" s="104" customFormat="1">
      <c r="D1126" s="148"/>
      <c r="E1126" s="100"/>
      <c r="F1126" s="100"/>
      <c r="G1126" s="100"/>
      <c r="H1126" s="148"/>
      <c r="I1126" s="100"/>
      <c r="J1126" s="100"/>
      <c r="K1126" s="100"/>
      <c r="L1126" s="100"/>
      <c r="M1126" s="100"/>
    </row>
    <row r="1127" spans="4:13" s="104" customFormat="1">
      <c r="D1127" s="148"/>
      <c r="E1127" s="100"/>
      <c r="F1127" s="100"/>
      <c r="G1127" s="100"/>
      <c r="H1127" s="148"/>
      <c r="I1127" s="100"/>
      <c r="J1127" s="100"/>
      <c r="K1127" s="100"/>
      <c r="L1127" s="100"/>
      <c r="M1127" s="100"/>
    </row>
    <row r="1128" spans="4:13" s="104" customFormat="1">
      <c r="D1128" s="148"/>
      <c r="E1128" s="100"/>
      <c r="F1128" s="100"/>
      <c r="G1128" s="100"/>
      <c r="H1128" s="148"/>
      <c r="I1128" s="100"/>
      <c r="J1128" s="100"/>
      <c r="K1128" s="100"/>
      <c r="L1128" s="100"/>
      <c r="M1128" s="100"/>
    </row>
    <row r="1129" spans="4:13" s="104" customFormat="1">
      <c r="D1129" s="148"/>
      <c r="E1129" s="100"/>
      <c r="F1129" s="100"/>
      <c r="G1129" s="100"/>
      <c r="H1129" s="148"/>
      <c r="I1129" s="100"/>
      <c r="J1129" s="100"/>
      <c r="K1129" s="100"/>
      <c r="L1129" s="100"/>
      <c r="M1129" s="100"/>
    </row>
    <row r="1130" spans="4:13" s="104" customFormat="1">
      <c r="D1130" s="148"/>
      <c r="E1130" s="100"/>
      <c r="F1130" s="100"/>
      <c r="G1130" s="100"/>
      <c r="H1130" s="148"/>
      <c r="I1130" s="100"/>
      <c r="J1130" s="100"/>
      <c r="K1130" s="100"/>
      <c r="L1130" s="100"/>
      <c r="M1130" s="100"/>
    </row>
    <row r="1131" spans="4:13" s="104" customFormat="1">
      <c r="D1131" s="148"/>
      <c r="E1131" s="100"/>
      <c r="F1131" s="100"/>
      <c r="G1131" s="100"/>
      <c r="H1131" s="148"/>
      <c r="I1131" s="100"/>
      <c r="J1131" s="100"/>
      <c r="K1131" s="100"/>
      <c r="L1131" s="100"/>
      <c r="M1131" s="100"/>
    </row>
    <row r="1132" spans="4:13" s="104" customFormat="1">
      <c r="D1132" s="148"/>
      <c r="E1132" s="100"/>
      <c r="F1132" s="100"/>
      <c r="G1132" s="100"/>
      <c r="H1132" s="148"/>
      <c r="I1132" s="100"/>
      <c r="J1132" s="100"/>
      <c r="K1132" s="100"/>
      <c r="L1132" s="100"/>
      <c r="M1132" s="100"/>
    </row>
    <row r="1133" spans="4:13" s="104" customFormat="1">
      <c r="D1133" s="148"/>
      <c r="E1133" s="100"/>
      <c r="F1133" s="100"/>
      <c r="G1133" s="100"/>
      <c r="H1133" s="148"/>
      <c r="I1133" s="100"/>
      <c r="J1133" s="100"/>
      <c r="K1133" s="100"/>
      <c r="L1133" s="100"/>
      <c r="M1133" s="100"/>
    </row>
    <row r="1134" spans="4:13" s="104" customFormat="1">
      <c r="D1134" s="148"/>
      <c r="E1134" s="100"/>
      <c r="F1134" s="100"/>
      <c r="G1134" s="100"/>
      <c r="H1134" s="148"/>
      <c r="I1134" s="100"/>
      <c r="J1134" s="100"/>
      <c r="K1134" s="100"/>
      <c r="L1134" s="100"/>
      <c r="M1134" s="100"/>
    </row>
    <row r="1135" spans="4:13" s="104" customFormat="1">
      <c r="D1135" s="148"/>
      <c r="E1135" s="100"/>
      <c r="F1135" s="100"/>
      <c r="G1135" s="100"/>
      <c r="H1135" s="148"/>
      <c r="I1135" s="100"/>
      <c r="J1135" s="100"/>
      <c r="K1135" s="100"/>
      <c r="L1135" s="100"/>
      <c r="M1135" s="100"/>
    </row>
    <row r="1136" spans="4:13" s="104" customFormat="1">
      <c r="D1136" s="148"/>
      <c r="E1136" s="100"/>
      <c r="F1136" s="100"/>
      <c r="G1136" s="100"/>
      <c r="H1136" s="148"/>
      <c r="I1136" s="100"/>
      <c r="J1136" s="100"/>
      <c r="K1136" s="100"/>
      <c r="L1136" s="100"/>
      <c r="M1136" s="100"/>
    </row>
    <row r="1137" spans="4:13" s="104" customFormat="1">
      <c r="D1137" s="148"/>
      <c r="E1137" s="100"/>
      <c r="F1137" s="100"/>
      <c r="G1137" s="100"/>
      <c r="H1137" s="148"/>
      <c r="I1137" s="100"/>
      <c r="J1137" s="100"/>
      <c r="K1137" s="100"/>
      <c r="L1137" s="100"/>
      <c r="M1137" s="100"/>
    </row>
    <row r="1138" spans="4:13" s="104" customFormat="1">
      <c r="D1138" s="148"/>
      <c r="E1138" s="100"/>
      <c r="F1138" s="100"/>
      <c r="G1138" s="100"/>
      <c r="H1138" s="148"/>
      <c r="I1138" s="100"/>
      <c r="J1138" s="100"/>
      <c r="K1138" s="100"/>
      <c r="L1138" s="100"/>
      <c r="M1138" s="100"/>
    </row>
    <row r="1139" spans="4:13" s="104" customFormat="1">
      <c r="D1139" s="148"/>
      <c r="E1139" s="100"/>
      <c r="F1139" s="100"/>
      <c r="G1139" s="100"/>
      <c r="H1139" s="148"/>
      <c r="I1139" s="100"/>
      <c r="J1139" s="100"/>
      <c r="K1139" s="100"/>
      <c r="L1139" s="100"/>
      <c r="M1139" s="100"/>
    </row>
    <row r="1140" spans="4:13" s="104" customFormat="1">
      <c r="D1140" s="148"/>
      <c r="E1140" s="100"/>
      <c r="F1140" s="100"/>
      <c r="G1140" s="100"/>
      <c r="H1140" s="148"/>
      <c r="I1140" s="100"/>
      <c r="J1140" s="100"/>
      <c r="K1140" s="100"/>
      <c r="L1140" s="100"/>
      <c r="M1140" s="100"/>
    </row>
    <row r="1141" spans="4:13" s="104" customFormat="1">
      <c r="D1141" s="148"/>
      <c r="E1141" s="100"/>
      <c r="F1141" s="100"/>
      <c r="G1141" s="100"/>
      <c r="H1141" s="148"/>
      <c r="I1141" s="100"/>
      <c r="J1141" s="100"/>
      <c r="K1141" s="100"/>
      <c r="L1141" s="100"/>
      <c r="M1141" s="100"/>
    </row>
    <row r="1142" spans="4:13" s="104" customFormat="1">
      <c r="D1142" s="148"/>
      <c r="E1142" s="100"/>
      <c r="F1142" s="100"/>
      <c r="G1142" s="100"/>
      <c r="H1142" s="148"/>
      <c r="I1142" s="100"/>
      <c r="J1142" s="100"/>
      <c r="K1142" s="100"/>
      <c r="L1142" s="100"/>
      <c r="M1142" s="100"/>
    </row>
    <row r="1143" spans="4:13" s="104" customFormat="1">
      <c r="D1143" s="148"/>
      <c r="E1143" s="100"/>
      <c r="F1143" s="100"/>
      <c r="G1143" s="100"/>
      <c r="H1143" s="148"/>
      <c r="I1143" s="100"/>
      <c r="J1143" s="100"/>
      <c r="K1143" s="100"/>
      <c r="L1143" s="100"/>
      <c r="M1143" s="100"/>
    </row>
    <row r="1144" spans="4:13" s="104" customFormat="1">
      <c r="D1144" s="148"/>
      <c r="E1144" s="100"/>
      <c r="F1144" s="100"/>
      <c r="G1144" s="100"/>
      <c r="H1144" s="148"/>
      <c r="I1144" s="100"/>
      <c r="J1144" s="100"/>
      <c r="K1144" s="100"/>
      <c r="L1144" s="100"/>
      <c r="M1144" s="100"/>
    </row>
    <row r="1145" spans="4:13" s="104" customFormat="1">
      <c r="D1145" s="148"/>
      <c r="E1145" s="100"/>
      <c r="F1145" s="100"/>
      <c r="G1145" s="100"/>
      <c r="H1145" s="148"/>
      <c r="I1145" s="100"/>
      <c r="J1145" s="100"/>
      <c r="K1145" s="100"/>
      <c r="L1145" s="100"/>
      <c r="M1145" s="100"/>
    </row>
    <row r="1146" spans="4:13" s="104" customFormat="1">
      <c r="D1146" s="148"/>
      <c r="E1146" s="100"/>
      <c r="F1146" s="100"/>
      <c r="G1146" s="100"/>
      <c r="H1146" s="148"/>
      <c r="I1146" s="100"/>
      <c r="J1146" s="100"/>
      <c r="K1146" s="100"/>
      <c r="L1146" s="100"/>
      <c r="M1146" s="100"/>
    </row>
    <row r="1147" spans="4:13" s="104" customFormat="1">
      <c r="D1147" s="148"/>
      <c r="E1147" s="100"/>
      <c r="F1147" s="100"/>
      <c r="G1147" s="100"/>
      <c r="H1147" s="148"/>
      <c r="I1147" s="100"/>
      <c r="J1147" s="100"/>
      <c r="K1147" s="100"/>
      <c r="L1147" s="100"/>
      <c r="M1147" s="100"/>
    </row>
    <row r="1148" spans="4:13" s="104" customFormat="1">
      <c r="D1148" s="148"/>
      <c r="E1148" s="100"/>
      <c r="F1148" s="100"/>
      <c r="G1148" s="100"/>
      <c r="H1148" s="148"/>
      <c r="I1148" s="100"/>
      <c r="J1148" s="100"/>
      <c r="K1148" s="100"/>
      <c r="L1148" s="100"/>
      <c r="M1148" s="100"/>
    </row>
    <row r="1149" spans="4:13" s="104" customFormat="1">
      <c r="D1149" s="148"/>
      <c r="E1149" s="100"/>
      <c r="F1149" s="100"/>
      <c r="G1149" s="100"/>
      <c r="H1149" s="148"/>
      <c r="I1149" s="100"/>
      <c r="J1149" s="100"/>
      <c r="K1149" s="100"/>
      <c r="L1149" s="100"/>
      <c r="M1149" s="100"/>
    </row>
    <row r="1150" spans="4:13" s="104" customFormat="1">
      <c r="D1150" s="148"/>
      <c r="E1150" s="100"/>
      <c r="F1150" s="100"/>
      <c r="G1150" s="100"/>
      <c r="H1150" s="148"/>
      <c r="I1150" s="100"/>
      <c r="J1150" s="100"/>
      <c r="K1150" s="100"/>
      <c r="L1150" s="100"/>
      <c r="M1150" s="100"/>
    </row>
    <row r="1151" spans="4:13" s="104" customFormat="1">
      <c r="D1151" s="148"/>
      <c r="E1151" s="100"/>
      <c r="F1151" s="100"/>
      <c r="G1151" s="100"/>
      <c r="H1151" s="148"/>
      <c r="I1151" s="100"/>
      <c r="J1151" s="100"/>
      <c r="K1151" s="100"/>
      <c r="L1151" s="100"/>
      <c r="M1151" s="100"/>
    </row>
    <row r="1152" spans="4:13" s="104" customFormat="1">
      <c r="D1152" s="148"/>
      <c r="E1152" s="100"/>
      <c r="F1152" s="100"/>
      <c r="G1152" s="100"/>
      <c r="H1152" s="148"/>
      <c r="I1152" s="100"/>
      <c r="J1152" s="100"/>
      <c r="K1152" s="100"/>
      <c r="L1152" s="100"/>
      <c r="M1152" s="100"/>
    </row>
    <row r="1153" spans="4:13" s="104" customFormat="1">
      <c r="D1153" s="148"/>
      <c r="E1153" s="100"/>
      <c r="F1153" s="100"/>
      <c r="G1153" s="100"/>
      <c r="H1153" s="148"/>
      <c r="I1153" s="100"/>
      <c r="J1153" s="100"/>
      <c r="K1153" s="100"/>
      <c r="L1153" s="100"/>
      <c r="M1153" s="100"/>
    </row>
    <row r="1154" spans="4:13" s="104" customFormat="1">
      <c r="D1154" s="148"/>
      <c r="E1154" s="100"/>
      <c r="F1154" s="100"/>
      <c r="G1154" s="100"/>
      <c r="H1154" s="148"/>
      <c r="I1154" s="100"/>
      <c r="J1154" s="100"/>
      <c r="K1154" s="100"/>
      <c r="L1154" s="100"/>
      <c r="M1154" s="100"/>
    </row>
    <row r="1155" spans="4:13" s="104" customFormat="1">
      <c r="D1155" s="148"/>
      <c r="E1155" s="100"/>
      <c r="F1155" s="100"/>
      <c r="G1155" s="100"/>
      <c r="H1155" s="148"/>
      <c r="I1155" s="100"/>
      <c r="J1155" s="100"/>
      <c r="K1155" s="100"/>
      <c r="L1155" s="100"/>
      <c r="M1155" s="100"/>
    </row>
    <row r="1156" spans="4:13" s="104" customFormat="1">
      <c r="D1156" s="148"/>
      <c r="E1156" s="100"/>
      <c r="F1156" s="100"/>
      <c r="G1156" s="100"/>
      <c r="H1156" s="148"/>
      <c r="I1156" s="100"/>
      <c r="J1156" s="100"/>
      <c r="K1156" s="100"/>
      <c r="L1156" s="100"/>
      <c r="M1156" s="100"/>
    </row>
    <row r="1157" spans="4:13" s="104" customFormat="1">
      <c r="D1157" s="148"/>
      <c r="E1157" s="100"/>
      <c r="F1157" s="100"/>
      <c r="G1157" s="100"/>
      <c r="H1157" s="148"/>
      <c r="I1157" s="100"/>
      <c r="J1157" s="100"/>
      <c r="K1157" s="100"/>
      <c r="L1157" s="100"/>
      <c r="M1157" s="100"/>
    </row>
    <row r="1158" spans="4:13" s="104" customFormat="1">
      <c r="D1158" s="148"/>
      <c r="E1158" s="100"/>
      <c r="F1158" s="100"/>
      <c r="G1158" s="100"/>
      <c r="H1158" s="148"/>
      <c r="I1158" s="100"/>
      <c r="J1158" s="100"/>
      <c r="K1158" s="100"/>
      <c r="L1158" s="100"/>
      <c r="M1158" s="100"/>
    </row>
    <row r="1159" spans="4:13" s="104" customFormat="1">
      <c r="D1159" s="148"/>
      <c r="E1159" s="100"/>
      <c r="F1159" s="100"/>
      <c r="G1159" s="100"/>
      <c r="H1159" s="148"/>
      <c r="I1159" s="100"/>
      <c r="J1159" s="100"/>
      <c r="K1159" s="100"/>
      <c r="L1159" s="100"/>
      <c r="M1159" s="100"/>
    </row>
    <row r="1160" spans="4:13" s="104" customFormat="1">
      <c r="D1160" s="148"/>
      <c r="E1160" s="100"/>
      <c r="F1160" s="100"/>
      <c r="G1160" s="100"/>
      <c r="H1160" s="148"/>
      <c r="I1160" s="100"/>
      <c r="J1160" s="100"/>
      <c r="K1160" s="100"/>
      <c r="L1160" s="100"/>
      <c r="M1160" s="100"/>
    </row>
    <row r="1161" spans="4:13" s="104" customFormat="1">
      <c r="D1161" s="148"/>
      <c r="E1161" s="100"/>
      <c r="F1161" s="100"/>
      <c r="G1161" s="100"/>
      <c r="H1161" s="148"/>
      <c r="I1161" s="100"/>
      <c r="J1161" s="100"/>
      <c r="K1161" s="100"/>
      <c r="L1161" s="100"/>
      <c r="M1161" s="100"/>
    </row>
    <row r="1162" spans="4:13" s="104" customFormat="1">
      <c r="D1162" s="148"/>
      <c r="E1162" s="100"/>
      <c r="F1162" s="100"/>
      <c r="G1162" s="100"/>
      <c r="H1162" s="148"/>
      <c r="I1162" s="100"/>
      <c r="J1162" s="100"/>
      <c r="K1162" s="100"/>
      <c r="L1162" s="100"/>
      <c r="M1162" s="100"/>
    </row>
    <row r="1163" spans="4:13" s="104" customFormat="1">
      <c r="D1163" s="148"/>
      <c r="E1163" s="100"/>
      <c r="F1163" s="100"/>
      <c r="G1163" s="100"/>
      <c r="H1163" s="148"/>
      <c r="I1163" s="100"/>
      <c r="J1163" s="100"/>
      <c r="K1163" s="100"/>
      <c r="L1163" s="100"/>
      <c r="M1163" s="100"/>
    </row>
    <row r="1164" spans="4:13" s="104" customFormat="1">
      <c r="D1164" s="148"/>
      <c r="E1164" s="100"/>
      <c r="F1164" s="100"/>
      <c r="G1164" s="100"/>
      <c r="H1164" s="148"/>
      <c r="I1164" s="100"/>
      <c r="J1164" s="100"/>
      <c r="K1164" s="100"/>
      <c r="L1164" s="100"/>
      <c r="M1164" s="100"/>
    </row>
    <row r="1165" spans="4:13" s="104" customFormat="1">
      <c r="D1165" s="148"/>
      <c r="E1165" s="100"/>
      <c r="F1165" s="100"/>
      <c r="G1165" s="100"/>
      <c r="H1165" s="148"/>
      <c r="I1165" s="100"/>
      <c r="J1165" s="100"/>
      <c r="K1165" s="100"/>
      <c r="L1165" s="100"/>
      <c r="M1165" s="100"/>
    </row>
    <row r="1166" spans="4:13" s="104" customFormat="1">
      <c r="D1166" s="148"/>
      <c r="E1166" s="100"/>
      <c r="F1166" s="100"/>
      <c r="G1166" s="100"/>
      <c r="H1166" s="148"/>
      <c r="I1166" s="100"/>
      <c r="J1166" s="100"/>
      <c r="K1166" s="100"/>
      <c r="L1166" s="100"/>
      <c r="M1166" s="100"/>
    </row>
    <row r="1167" spans="4:13" s="104" customFormat="1">
      <c r="D1167" s="148"/>
      <c r="E1167" s="100"/>
      <c r="F1167" s="100"/>
      <c r="G1167" s="100"/>
      <c r="H1167" s="148"/>
      <c r="I1167" s="100"/>
      <c r="J1167" s="100"/>
      <c r="K1167" s="100"/>
      <c r="L1167" s="100"/>
      <c r="M1167" s="100"/>
    </row>
    <row r="1168" spans="4:13" s="104" customFormat="1">
      <c r="D1168" s="148"/>
      <c r="E1168" s="100"/>
      <c r="F1168" s="100"/>
      <c r="G1168" s="100"/>
      <c r="H1168" s="148"/>
      <c r="I1168" s="100"/>
      <c r="J1168" s="100"/>
      <c r="K1168" s="100"/>
      <c r="L1168" s="100"/>
      <c r="M1168" s="100"/>
    </row>
    <row r="1169" spans="4:13" s="104" customFormat="1">
      <c r="D1169" s="148"/>
      <c r="E1169" s="100"/>
      <c r="F1169" s="100"/>
      <c r="G1169" s="100"/>
      <c r="H1169" s="148"/>
      <c r="I1169" s="100"/>
      <c r="J1169" s="100"/>
      <c r="K1169" s="100"/>
      <c r="L1169" s="100"/>
      <c r="M1169" s="100"/>
    </row>
    <row r="1170" spans="4:13" s="104" customFormat="1">
      <c r="D1170" s="148"/>
      <c r="E1170" s="100"/>
      <c r="F1170" s="100"/>
      <c r="G1170" s="100"/>
      <c r="H1170" s="148"/>
      <c r="I1170" s="100"/>
      <c r="J1170" s="100"/>
      <c r="K1170" s="100"/>
      <c r="L1170" s="100"/>
      <c r="M1170" s="100"/>
    </row>
    <row r="1171" spans="4:13" s="104" customFormat="1">
      <c r="D1171" s="148"/>
      <c r="E1171" s="100"/>
      <c r="F1171" s="100"/>
      <c r="G1171" s="100"/>
      <c r="H1171" s="148"/>
      <c r="I1171" s="100"/>
      <c r="J1171" s="100"/>
      <c r="K1171" s="100"/>
      <c r="L1171" s="100"/>
      <c r="M1171" s="100"/>
    </row>
    <row r="1172" spans="4:13" s="104" customFormat="1">
      <c r="D1172" s="148"/>
      <c r="E1172" s="100"/>
      <c r="F1172" s="100"/>
      <c r="G1172" s="100"/>
      <c r="H1172" s="148"/>
      <c r="I1172" s="100"/>
      <c r="J1172" s="100"/>
      <c r="K1172" s="100"/>
      <c r="L1172" s="100"/>
      <c r="M1172" s="100"/>
    </row>
    <row r="1173" spans="4:13" s="104" customFormat="1">
      <c r="D1173" s="148"/>
      <c r="E1173" s="100"/>
      <c r="F1173" s="100"/>
      <c r="G1173" s="100"/>
      <c r="H1173" s="148"/>
      <c r="I1173" s="100"/>
      <c r="J1173" s="100"/>
      <c r="K1173" s="100"/>
      <c r="L1173" s="100"/>
      <c r="M1173" s="100"/>
    </row>
    <row r="1174" spans="4:13" s="104" customFormat="1">
      <c r="D1174" s="148"/>
      <c r="E1174" s="100"/>
      <c r="F1174" s="100"/>
      <c r="G1174" s="100"/>
      <c r="H1174" s="148"/>
      <c r="I1174" s="100"/>
      <c r="J1174" s="100"/>
      <c r="K1174" s="100"/>
      <c r="L1174" s="100"/>
      <c r="M1174" s="100"/>
    </row>
    <row r="1175" spans="4:13" s="104" customFormat="1">
      <c r="D1175" s="148"/>
      <c r="E1175" s="100"/>
      <c r="F1175" s="100"/>
      <c r="G1175" s="100"/>
      <c r="H1175" s="148"/>
      <c r="I1175" s="100"/>
      <c r="J1175" s="100"/>
      <c r="K1175" s="100"/>
      <c r="L1175" s="100"/>
      <c r="M1175" s="100"/>
    </row>
    <row r="1176" spans="4:13" s="104" customFormat="1">
      <c r="D1176" s="148"/>
      <c r="E1176" s="100"/>
      <c r="F1176" s="100"/>
      <c r="G1176" s="100"/>
      <c r="H1176" s="148"/>
      <c r="I1176" s="100"/>
      <c r="J1176" s="100"/>
      <c r="K1176" s="100"/>
      <c r="L1176" s="100"/>
      <c r="M1176" s="100"/>
    </row>
    <row r="1177" spans="4:13" s="104" customFormat="1">
      <c r="D1177" s="148"/>
      <c r="E1177" s="100"/>
      <c r="F1177" s="100"/>
      <c r="G1177" s="100"/>
      <c r="H1177" s="148"/>
      <c r="I1177" s="100"/>
      <c r="J1177" s="100"/>
      <c r="K1177" s="100"/>
      <c r="L1177" s="100"/>
      <c r="M1177" s="100"/>
    </row>
    <row r="1178" spans="4:13" s="104" customFormat="1">
      <c r="D1178" s="148"/>
      <c r="E1178" s="100"/>
      <c r="F1178" s="100"/>
      <c r="G1178" s="100"/>
      <c r="H1178" s="148"/>
      <c r="I1178" s="100"/>
      <c r="J1178" s="100"/>
      <c r="K1178" s="100"/>
      <c r="L1178" s="100"/>
      <c r="M1178" s="100"/>
    </row>
    <row r="1179" spans="4:13" s="104" customFormat="1">
      <c r="D1179" s="148"/>
      <c r="E1179" s="100"/>
      <c r="F1179" s="100"/>
      <c r="G1179" s="100"/>
      <c r="H1179" s="148"/>
      <c r="I1179" s="100"/>
      <c r="J1179" s="100"/>
      <c r="K1179" s="100"/>
      <c r="L1179" s="100"/>
      <c r="M1179" s="100"/>
    </row>
    <row r="1180" spans="4:13" s="104" customFormat="1">
      <c r="D1180" s="148"/>
      <c r="E1180" s="100"/>
      <c r="F1180" s="100"/>
      <c r="G1180" s="100"/>
      <c r="H1180" s="148"/>
      <c r="I1180" s="100"/>
      <c r="J1180" s="100"/>
      <c r="K1180" s="100"/>
      <c r="L1180" s="100"/>
      <c r="M1180" s="100"/>
    </row>
    <row r="1181" spans="4:13" s="104" customFormat="1">
      <c r="D1181" s="148"/>
      <c r="E1181" s="100"/>
      <c r="F1181" s="100"/>
      <c r="G1181" s="100"/>
      <c r="H1181" s="148"/>
      <c r="I1181" s="100"/>
      <c r="J1181" s="100"/>
      <c r="K1181" s="100"/>
      <c r="L1181" s="100"/>
      <c r="M1181" s="100"/>
    </row>
    <row r="1182" spans="4:13" s="104" customFormat="1">
      <c r="D1182" s="148"/>
      <c r="E1182" s="100"/>
      <c r="F1182" s="100"/>
      <c r="G1182" s="100"/>
      <c r="H1182" s="148"/>
      <c r="I1182" s="100"/>
      <c r="J1182" s="100"/>
      <c r="K1182" s="100"/>
      <c r="L1182" s="100"/>
      <c r="M1182" s="100"/>
    </row>
    <row r="1183" spans="4:13" s="104" customFormat="1">
      <c r="D1183" s="148"/>
      <c r="E1183" s="100"/>
      <c r="F1183" s="100"/>
      <c r="G1183" s="100"/>
      <c r="H1183" s="148"/>
      <c r="I1183" s="100"/>
      <c r="J1183" s="100"/>
      <c r="K1183" s="100"/>
      <c r="L1183" s="100"/>
      <c r="M1183" s="100"/>
    </row>
    <row r="1184" spans="4:13" s="104" customFormat="1">
      <c r="D1184" s="148"/>
      <c r="E1184" s="100"/>
      <c r="F1184" s="100"/>
      <c r="G1184" s="100"/>
      <c r="H1184" s="148"/>
      <c r="I1184" s="100"/>
      <c r="J1184" s="100"/>
      <c r="K1184" s="100"/>
      <c r="L1184" s="100"/>
      <c r="M1184" s="100"/>
    </row>
    <row r="1185" spans="4:13" s="104" customFormat="1">
      <c r="D1185" s="148"/>
      <c r="E1185" s="100"/>
      <c r="F1185" s="100"/>
      <c r="G1185" s="100"/>
      <c r="H1185" s="148"/>
      <c r="I1185" s="100"/>
      <c r="J1185" s="100"/>
      <c r="K1185" s="100"/>
      <c r="L1185" s="100"/>
      <c r="M1185" s="100"/>
    </row>
    <row r="1186" spans="4:13" s="104" customFormat="1">
      <c r="D1186" s="148"/>
      <c r="E1186" s="100"/>
      <c r="F1186" s="100"/>
      <c r="G1186" s="100"/>
      <c r="H1186" s="148"/>
      <c r="I1186" s="100"/>
      <c r="J1186" s="100"/>
      <c r="K1186" s="100"/>
      <c r="L1186" s="100"/>
      <c r="M1186" s="100"/>
    </row>
    <row r="1187" spans="4:13" s="104" customFormat="1">
      <c r="D1187" s="148"/>
      <c r="E1187" s="100"/>
      <c r="F1187" s="100"/>
      <c r="G1187" s="100"/>
      <c r="H1187" s="148"/>
      <c r="I1187" s="100"/>
      <c r="J1187" s="100"/>
      <c r="K1187" s="100"/>
      <c r="L1187" s="100"/>
      <c r="M1187" s="100"/>
    </row>
    <row r="1188" spans="4:13" s="104" customFormat="1">
      <c r="D1188" s="148"/>
      <c r="E1188" s="100"/>
      <c r="F1188" s="100"/>
      <c r="G1188" s="100"/>
      <c r="H1188" s="148"/>
      <c r="I1188" s="100"/>
      <c r="J1188" s="100"/>
      <c r="K1188" s="100"/>
      <c r="L1188" s="100"/>
      <c r="M1188" s="100"/>
    </row>
    <row r="1189" spans="4:13" s="104" customFormat="1">
      <c r="D1189" s="148"/>
      <c r="E1189" s="100"/>
      <c r="F1189" s="100"/>
      <c r="G1189" s="100"/>
      <c r="H1189" s="148"/>
      <c r="I1189" s="100"/>
      <c r="J1189" s="100"/>
      <c r="K1189" s="100"/>
      <c r="L1189" s="100"/>
      <c r="M1189" s="100"/>
    </row>
    <row r="1190" spans="4:13" s="104" customFormat="1">
      <c r="D1190" s="148"/>
      <c r="E1190" s="100"/>
      <c r="F1190" s="100"/>
      <c r="G1190" s="100"/>
      <c r="H1190" s="148"/>
      <c r="I1190" s="100"/>
      <c r="J1190" s="100"/>
      <c r="K1190" s="100"/>
      <c r="L1190" s="100"/>
      <c r="M1190" s="100"/>
    </row>
    <row r="1191" spans="4:13" s="104" customFormat="1">
      <c r="D1191" s="148"/>
      <c r="E1191" s="100"/>
      <c r="F1191" s="100"/>
      <c r="G1191" s="100"/>
      <c r="H1191" s="148"/>
      <c r="I1191" s="100"/>
      <c r="J1191" s="100"/>
      <c r="K1191" s="100"/>
      <c r="L1191" s="100"/>
      <c r="M1191" s="100"/>
    </row>
    <row r="1192" spans="4:13" s="104" customFormat="1">
      <c r="D1192" s="148"/>
      <c r="E1192" s="100"/>
      <c r="F1192" s="100"/>
      <c r="G1192" s="100"/>
      <c r="H1192" s="148"/>
      <c r="I1192" s="100"/>
      <c r="J1192" s="100"/>
      <c r="K1192" s="100"/>
      <c r="L1192" s="100"/>
      <c r="M1192" s="100"/>
    </row>
    <row r="1193" spans="4:13" s="104" customFormat="1">
      <c r="D1193" s="148"/>
      <c r="E1193" s="100"/>
      <c r="F1193" s="100"/>
      <c r="G1193" s="100"/>
      <c r="H1193" s="148"/>
      <c r="I1193" s="100"/>
      <c r="J1193" s="100"/>
      <c r="K1193" s="100"/>
      <c r="L1193" s="100"/>
      <c r="M1193" s="100"/>
    </row>
    <row r="1194" spans="4:13" s="104" customFormat="1">
      <c r="D1194" s="148"/>
      <c r="E1194" s="100"/>
      <c r="F1194" s="100"/>
      <c r="G1194" s="100"/>
      <c r="H1194" s="148"/>
      <c r="I1194" s="100"/>
      <c r="J1194" s="100"/>
      <c r="K1194" s="100"/>
      <c r="L1194" s="100"/>
      <c r="M1194" s="100"/>
    </row>
    <row r="1195" spans="4:13" s="104" customFormat="1">
      <c r="D1195" s="148"/>
      <c r="E1195" s="100"/>
      <c r="F1195" s="100"/>
      <c r="G1195" s="100"/>
      <c r="H1195" s="148"/>
      <c r="I1195" s="100"/>
      <c r="J1195" s="100"/>
      <c r="K1195" s="100"/>
      <c r="L1195" s="100"/>
      <c r="M1195" s="100"/>
    </row>
    <row r="1196" spans="4:13" s="104" customFormat="1">
      <c r="D1196" s="148"/>
      <c r="E1196" s="100"/>
      <c r="F1196" s="100"/>
      <c r="G1196" s="100"/>
      <c r="H1196" s="148"/>
      <c r="I1196" s="100"/>
      <c r="J1196" s="100"/>
      <c r="K1196" s="100"/>
      <c r="L1196" s="100"/>
      <c r="M1196" s="100"/>
    </row>
    <row r="1197" spans="4:13" s="104" customFormat="1">
      <c r="D1197" s="148"/>
      <c r="E1197" s="100"/>
      <c r="F1197" s="100"/>
      <c r="G1197" s="100"/>
      <c r="H1197" s="148"/>
      <c r="I1197" s="100"/>
      <c r="J1197" s="100"/>
      <c r="K1197" s="100"/>
      <c r="L1197" s="100"/>
      <c r="M1197" s="100"/>
    </row>
    <row r="1198" spans="4:13" s="104" customFormat="1">
      <c r="D1198" s="148"/>
      <c r="E1198" s="100"/>
      <c r="F1198" s="100"/>
      <c r="G1198" s="100"/>
      <c r="H1198" s="148"/>
      <c r="I1198" s="100"/>
      <c r="J1198" s="100"/>
      <c r="K1198" s="100"/>
      <c r="L1198" s="100"/>
      <c r="M1198" s="100"/>
    </row>
    <row r="1199" spans="4:13" s="104" customFormat="1">
      <c r="D1199" s="148"/>
      <c r="E1199" s="100"/>
      <c r="F1199" s="100"/>
      <c r="G1199" s="100"/>
      <c r="H1199" s="148"/>
      <c r="I1199" s="100"/>
      <c r="J1199" s="100"/>
      <c r="K1199" s="100"/>
      <c r="L1199" s="100"/>
      <c r="M1199" s="100"/>
    </row>
    <row r="1200" spans="4:13" s="104" customFormat="1">
      <c r="D1200" s="148"/>
      <c r="E1200" s="100"/>
      <c r="F1200" s="100"/>
      <c r="G1200" s="100"/>
      <c r="H1200" s="148"/>
      <c r="I1200" s="100"/>
      <c r="J1200" s="100"/>
      <c r="K1200" s="100"/>
      <c r="L1200" s="100"/>
      <c r="M1200" s="100"/>
    </row>
    <row r="1201" spans="4:13" s="104" customFormat="1">
      <c r="D1201" s="148"/>
      <c r="E1201" s="100"/>
      <c r="F1201" s="100"/>
      <c r="G1201" s="100"/>
      <c r="H1201" s="148"/>
      <c r="I1201" s="100"/>
      <c r="J1201" s="100"/>
      <c r="K1201" s="100"/>
      <c r="L1201" s="100"/>
      <c r="M1201" s="100"/>
    </row>
    <row r="1202" spans="4:13" s="104" customFormat="1">
      <c r="D1202" s="148"/>
      <c r="E1202" s="100"/>
      <c r="F1202" s="100"/>
      <c r="G1202" s="100"/>
      <c r="H1202" s="148"/>
      <c r="I1202" s="100"/>
      <c r="J1202" s="100"/>
      <c r="K1202" s="100"/>
      <c r="L1202" s="100"/>
      <c r="M1202" s="100"/>
    </row>
    <row r="1203" spans="4:13" s="104" customFormat="1">
      <c r="D1203" s="148"/>
      <c r="E1203" s="100"/>
      <c r="F1203" s="100"/>
      <c r="G1203" s="100"/>
      <c r="H1203" s="148"/>
      <c r="I1203" s="100"/>
      <c r="J1203" s="100"/>
      <c r="K1203" s="100"/>
      <c r="L1203" s="100"/>
      <c r="M1203" s="100"/>
    </row>
    <row r="1204" spans="4:13" s="104" customFormat="1">
      <c r="D1204" s="148"/>
      <c r="E1204" s="100"/>
      <c r="F1204" s="100"/>
      <c r="G1204" s="100"/>
      <c r="H1204" s="148"/>
      <c r="I1204" s="100"/>
      <c r="J1204" s="100"/>
      <c r="K1204" s="100"/>
      <c r="L1204" s="100"/>
      <c r="M1204" s="100"/>
    </row>
    <row r="1205" spans="4:13" s="104" customFormat="1">
      <c r="D1205" s="148"/>
      <c r="E1205" s="100"/>
      <c r="F1205" s="100"/>
      <c r="G1205" s="100"/>
      <c r="H1205" s="148"/>
      <c r="I1205" s="100"/>
      <c r="J1205" s="100"/>
      <c r="K1205" s="100"/>
      <c r="L1205" s="100"/>
      <c r="M1205" s="100"/>
    </row>
    <row r="1206" spans="4:13" s="104" customFormat="1">
      <c r="D1206" s="148"/>
      <c r="E1206" s="100"/>
      <c r="F1206" s="100"/>
      <c r="G1206" s="100"/>
      <c r="H1206" s="148"/>
      <c r="I1206" s="100"/>
      <c r="J1206" s="100"/>
      <c r="K1206" s="100"/>
      <c r="L1206" s="100"/>
      <c r="M1206" s="100"/>
    </row>
    <row r="1207" spans="4:13" s="104" customFormat="1">
      <c r="D1207" s="148"/>
      <c r="E1207" s="100"/>
      <c r="F1207" s="100"/>
      <c r="G1207" s="100"/>
      <c r="H1207" s="148"/>
      <c r="I1207" s="100"/>
      <c r="J1207" s="100"/>
      <c r="K1207" s="100"/>
      <c r="L1207" s="100"/>
      <c r="M1207" s="100"/>
    </row>
    <row r="1208" spans="4:13" s="104" customFormat="1">
      <c r="D1208" s="148"/>
      <c r="E1208" s="100"/>
      <c r="F1208" s="100"/>
      <c r="G1208" s="100"/>
      <c r="H1208" s="148"/>
      <c r="I1208" s="100"/>
      <c r="J1208" s="100"/>
      <c r="K1208" s="100"/>
      <c r="L1208" s="100"/>
      <c r="M1208" s="100"/>
    </row>
    <row r="1209" spans="4:13" s="104" customFormat="1">
      <c r="D1209" s="148"/>
      <c r="E1209" s="100"/>
      <c r="F1209" s="100"/>
      <c r="G1209" s="100"/>
      <c r="H1209" s="148"/>
      <c r="I1209" s="100"/>
      <c r="J1209" s="100"/>
      <c r="K1209" s="100"/>
      <c r="L1209" s="100"/>
      <c r="M1209" s="100"/>
    </row>
    <row r="1210" spans="4:13" s="104" customFormat="1">
      <c r="D1210" s="148"/>
      <c r="E1210" s="100"/>
      <c r="F1210" s="100"/>
      <c r="G1210" s="100"/>
      <c r="H1210" s="148"/>
      <c r="I1210" s="100"/>
      <c r="J1210" s="100"/>
      <c r="K1210" s="100"/>
      <c r="L1210" s="100"/>
      <c r="M1210" s="100"/>
    </row>
    <row r="1211" spans="4:13" s="104" customFormat="1">
      <c r="D1211" s="148"/>
      <c r="E1211" s="100"/>
      <c r="F1211" s="100"/>
      <c r="G1211" s="100"/>
      <c r="H1211" s="148"/>
      <c r="I1211" s="100"/>
      <c r="J1211" s="100"/>
      <c r="K1211" s="100"/>
      <c r="L1211" s="100"/>
      <c r="M1211" s="100"/>
    </row>
    <row r="1212" spans="4:13" s="104" customFormat="1">
      <c r="D1212" s="148"/>
      <c r="E1212" s="100"/>
      <c r="F1212" s="100"/>
      <c r="G1212" s="100"/>
      <c r="H1212" s="148"/>
      <c r="I1212" s="100"/>
      <c r="J1212" s="100"/>
      <c r="K1212" s="100"/>
      <c r="L1212" s="100"/>
      <c r="M1212" s="100"/>
    </row>
    <row r="1213" spans="4:13" s="104" customFormat="1">
      <c r="D1213" s="148"/>
      <c r="E1213" s="100"/>
      <c r="F1213" s="100"/>
      <c r="G1213" s="100"/>
      <c r="H1213" s="148"/>
      <c r="I1213" s="100"/>
      <c r="J1213" s="100"/>
      <c r="K1213" s="100"/>
      <c r="L1213" s="100"/>
      <c r="M1213" s="100"/>
    </row>
    <row r="1214" spans="4:13" s="104" customFormat="1">
      <c r="D1214" s="148"/>
      <c r="E1214" s="100"/>
      <c r="F1214" s="100"/>
      <c r="G1214" s="100"/>
      <c r="H1214" s="148"/>
      <c r="I1214" s="100"/>
      <c r="J1214" s="100"/>
      <c r="K1214" s="100"/>
      <c r="L1214" s="100"/>
      <c r="M1214" s="100"/>
    </row>
    <row r="1215" spans="4:13" s="104" customFormat="1">
      <c r="D1215" s="148"/>
      <c r="E1215" s="100"/>
      <c r="F1215" s="100"/>
      <c r="G1215" s="100"/>
      <c r="H1215" s="148"/>
      <c r="I1215" s="100"/>
      <c r="J1215" s="100"/>
      <c r="K1215" s="100"/>
      <c r="L1215" s="100"/>
      <c r="M1215" s="100"/>
    </row>
    <row r="1216" spans="4:13" s="104" customFormat="1">
      <c r="D1216" s="148"/>
      <c r="E1216" s="100"/>
      <c r="F1216" s="100"/>
      <c r="G1216" s="100"/>
      <c r="H1216" s="148"/>
      <c r="I1216" s="100"/>
      <c r="J1216" s="100"/>
      <c r="K1216" s="100"/>
      <c r="L1216" s="100"/>
      <c r="M1216" s="100"/>
    </row>
    <row r="1217" spans="4:13" s="104" customFormat="1">
      <c r="D1217" s="148"/>
      <c r="E1217" s="100"/>
      <c r="F1217" s="100"/>
      <c r="G1217" s="100"/>
      <c r="H1217" s="148"/>
      <c r="I1217" s="100"/>
      <c r="J1217" s="100"/>
      <c r="K1217" s="100"/>
      <c r="L1217" s="100"/>
      <c r="M1217" s="100"/>
    </row>
    <row r="1218" spans="4:13" s="104" customFormat="1">
      <c r="D1218" s="148"/>
      <c r="E1218" s="100"/>
      <c r="F1218" s="100"/>
      <c r="G1218" s="100"/>
      <c r="H1218" s="148"/>
      <c r="I1218" s="100"/>
      <c r="J1218" s="100"/>
      <c r="K1218" s="100"/>
      <c r="L1218" s="100"/>
      <c r="M1218" s="100"/>
    </row>
    <row r="1219" spans="4:13" s="104" customFormat="1">
      <c r="D1219" s="148"/>
      <c r="E1219" s="100"/>
      <c r="F1219" s="100"/>
      <c r="G1219" s="100"/>
      <c r="H1219" s="148"/>
      <c r="I1219" s="100"/>
      <c r="J1219" s="100"/>
      <c r="K1219" s="100"/>
      <c r="L1219" s="100"/>
      <c r="M1219" s="100"/>
    </row>
    <row r="1220" spans="4:13" s="104" customFormat="1">
      <c r="D1220" s="148"/>
      <c r="E1220" s="100"/>
      <c r="F1220" s="100"/>
      <c r="G1220" s="100"/>
      <c r="H1220" s="148"/>
      <c r="I1220" s="100"/>
      <c r="J1220" s="100"/>
      <c r="K1220" s="100"/>
      <c r="L1220" s="100"/>
      <c r="M1220" s="100"/>
    </row>
    <row r="1221" spans="4:13" s="104" customFormat="1">
      <c r="D1221" s="148"/>
      <c r="E1221" s="100"/>
      <c r="F1221" s="100"/>
      <c r="G1221" s="100"/>
      <c r="H1221" s="148"/>
      <c r="I1221" s="100"/>
      <c r="J1221" s="100"/>
      <c r="K1221" s="100"/>
      <c r="L1221" s="100"/>
      <c r="M1221" s="100"/>
    </row>
    <row r="1222" spans="4:13" s="104" customFormat="1">
      <c r="D1222" s="148"/>
      <c r="E1222" s="100"/>
      <c r="F1222" s="100"/>
      <c r="G1222" s="100"/>
      <c r="H1222" s="148"/>
      <c r="I1222" s="100"/>
      <c r="J1222" s="100"/>
      <c r="K1222" s="100"/>
      <c r="L1222" s="100"/>
      <c r="M1222" s="100"/>
    </row>
    <row r="1223" spans="4:13" s="104" customFormat="1">
      <c r="D1223" s="148"/>
      <c r="E1223" s="100"/>
      <c r="F1223" s="100"/>
      <c r="G1223" s="100"/>
      <c r="H1223" s="148"/>
      <c r="I1223" s="100"/>
      <c r="J1223" s="100"/>
      <c r="K1223" s="100"/>
      <c r="L1223" s="100"/>
      <c r="M1223" s="100"/>
    </row>
    <row r="1224" spans="4:13" s="104" customFormat="1">
      <c r="D1224" s="148"/>
      <c r="E1224" s="100"/>
      <c r="F1224" s="100"/>
      <c r="G1224" s="100"/>
      <c r="H1224" s="148"/>
      <c r="I1224" s="100"/>
      <c r="J1224" s="100"/>
      <c r="K1224" s="100"/>
      <c r="L1224" s="100"/>
      <c r="M1224" s="100"/>
    </row>
    <row r="1225" spans="4:13" s="104" customFormat="1">
      <c r="D1225" s="148"/>
      <c r="E1225" s="100"/>
      <c r="F1225" s="100"/>
      <c r="G1225" s="100"/>
      <c r="H1225" s="148"/>
      <c r="I1225" s="100"/>
      <c r="J1225" s="100"/>
      <c r="K1225" s="100"/>
      <c r="L1225" s="100"/>
      <c r="M1225" s="100"/>
    </row>
    <row r="1226" spans="4:13" s="104" customFormat="1">
      <c r="D1226" s="148"/>
      <c r="E1226" s="100"/>
      <c r="F1226" s="100"/>
      <c r="G1226" s="100"/>
      <c r="H1226" s="148"/>
      <c r="I1226" s="100"/>
      <c r="J1226" s="100"/>
      <c r="K1226" s="100"/>
      <c r="L1226" s="100"/>
      <c r="M1226" s="100"/>
    </row>
    <row r="1227" spans="4:13" s="104" customFormat="1">
      <c r="D1227" s="148"/>
      <c r="E1227" s="100"/>
      <c r="F1227" s="100"/>
      <c r="G1227" s="100"/>
      <c r="H1227" s="148"/>
      <c r="I1227" s="100"/>
      <c r="J1227" s="100"/>
      <c r="K1227" s="100"/>
      <c r="L1227" s="100"/>
      <c r="M1227" s="100"/>
    </row>
    <row r="1228" spans="4:13" s="104" customFormat="1">
      <c r="D1228" s="148"/>
      <c r="E1228" s="100"/>
      <c r="F1228" s="100"/>
      <c r="G1228" s="100"/>
      <c r="H1228" s="148"/>
      <c r="I1228" s="100"/>
      <c r="J1228" s="100"/>
      <c r="K1228" s="100"/>
      <c r="L1228" s="100"/>
      <c r="M1228" s="100"/>
    </row>
    <row r="1229" spans="4:13" s="104" customFormat="1">
      <c r="D1229" s="148"/>
      <c r="E1229" s="100"/>
      <c r="F1229" s="100"/>
      <c r="G1229" s="100"/>
      <c r="H1229" s="148"/>
      <c r="I1229" s="100"/>
      <c r="J1229" s="100"/>
      <c r="K1229" s="100"/>
      <c r="L1229" s="100"/>
      <c r="M1229" s="100"/>
    </row>
    <row r="1230" spans="4:13" s="104" customFormat="1">
      <c r="D1230" s="148"/>
      <c r="E1230" s="100"/>
      <c r="F1230" s="100"/>
      <c r="G1230" s="100"/>
      <c r="H1230" s="148"/>
      <c r="I1230" s="100"/>
      <c r="J1230" s="100"/>
      <c r="K1230" s="100"/>
      <c r="L1230" s="100"/>
      <c r="M1230" s="100"/>
    </row>
    <row r="1231" spans="4:13" s="104" customFormat="1">
      <c r="D1231" s="148"/>
      <c r="E1231" s="100"/>
      <c r="F1231" s="100"/>
      <c r="G1231" s="100"/>
      <c r="H1231" s="148"/>
      <c r="I1231" s="100"/>
      <c r="J1231" s="100"/>
      <c r="K1231" s="100"/>
      <c r="L1231" s="100"/>
      <c r="M1231" s="100"/>
    </row>
    <row r="1232" spans="4:13" s="104" customFormat="1">
      <c r="D1232" s="148"/>
      <c r="E1232" s="100"/>
      <c r="F1232" s="100"/>
      <c r="G1232" s="100"/>
      <c r="H1232" s="148"/>
      <c r="I1232" s="100"/>
      <c r="J1232" s="100"/>
      <c r="K1232" s="100"/>
      <c r="L1232" s="100"/>
      <c r="M1232" s="100"/>
    </row>
    <row r="1233" spans="4:13" s="104" customFormat="1">
      <c r="D1233" s="148"/>
      <c r="E1233" s="100"/>
      <c r="F1233" s="100"/>
      <c r="G1233" s="100"/>
      <c r="H1233" s="148"/>
      <c r="I1233" s="100"/>
      <c r="J1233" s="100"/>
      <c r="K1233" s="100"/>
      <c r="L1233" s="100"/>
      <c r="M1233" s="100"/>
    </row>
    <row r="1234" spans="4:13" s="104" customFormat="1">
      <c r="D1234" s="148"/>
      <c r="E1234" s="100"/>
      <c r="F1234" s="100"/>
      <c r="G1234" s="100"/>
      <c r="H1234" s="148"/>
      <c r="I1234" s="100"/>
      <c r="J1234" s="100"/>
      <c r="K1234" s="100"/>
      <c r="L1234" s="100"/>
      <c r="M1234" s="100"/>
    </row>
    <row r="1235" spans="4:13" s="104" customFormat="1">
      <c r="D1235" s="148"/>
      <c r="E1235" s="100"/>
      <c r="F1235" s="100"/>
      <c r="G1235" s="100"/>
      <c r="H1235" s="148"/>
      <c r="I1235" s="100"/>
      <c r="J1235" s="100"/>
      <c r="K1235" s="100"/>
      <c r="L1235" s="100"/>
      <c r="M1235" s="100"/>
    </row>
    <row r="1236" spans="4:13" s="104" customFormat="1">
      <c r="D1236" s="148"/>
      <c r="E1236" s="100"/>
      <c r="F1236" s="100"/>
      <c r="G1236" s="100"/>
      <c r="H1236" s="148"/>
      <c r="I1236" s="100"/>
      <c r="J1236" s="100"/>
      <c r="K1236" s="100"/>
      <c r="L1236" s="100"/>
      <c r="M1236" s="100"/>
    </row>
    <row r="1237" spans="4:13" s="104" customFormat="1">
      <c r="D1237" s="148"/>
      <c r="E1237" s="100"/>
      <c r="F1237" s="100"/>
      <c r="G1237" s="100"/>
      <c r="H1237" s="148"/>
      <c r="I1237" s="100"/>
      <c r="J1237" s="100"/>
      <c r="K1237" s="100"/>
      <c r="L1237" s="100"/>
      <c r="M1237" s="100"/>
    </row>
    <row r="1238" spans="4:13" s="104" customFormat="1">
      <c r="D1238" s="148"/>
      <c r="E1238" s="100"/>
      <c r="F1238" s="100"/>
      <c r="G1238" s="100"/>
      <c r="H1238" s="148"/>
      <c r="I1238" s="100"/>
      <c r="J1238" s="100"/>
      <c r="K1238" s="100"/>
      <c r="L1238" s="100"/>
      <c r="M1238" s="100"/>
    </row>
    <row r="1239" spans="4:13" s="104" customFormat="1">
      <c r="D1239" s="148"/>
      <c r="E1239" s="100"/>
      <c r="F1239" s="100"/>
      <c r="G1239" s="100"/>
      <c r="H1239" s="148"/>
      <c r="I1239" s="100"/>
      <c r="J1239" s="100"/>
      <c r="K1239" s="100"/>
      <c r="L1239" s="100"/>
      <c r="M1239" s="100"/>
    </row>
    <row r="1240" spans="4:13" s="104" customFormat="1">
      <c r="D1240" s="148"/>
      <c r="E1240" s="100"/>
      <c r="F1240" s="100"/>
      <c r="G1240" s="100"/>
      <c r="H1240" s="148"/>
      <c r="I1240" s="100"/>
      <c r="J1240" s="100"/>
      <c r="K1240" s="100"/>
      <c r="L1240" s="100"/>
      <c r="M1240" s="100"/>
    </row>
    <row r="1241" spans="4:13" s="104" customFormat="1">
      <c r="D1241" s="148"/>
      <c r="E1241" s="100"/>
      <c r="F1241" s="100"/>
      <c r="G1241" s="100"/>
      <c r="H1241" s="148"/>
      <c r="I1241" s="100"/>
      <c r="J1241" s="100"/>
      <c r="K1241" s="100"/>
      <c r="L1241" s="100"/>
      <c r="M1241" s="100"/>
    </row>
    <row r="1242" spans="4:13" s="104" customFormat="1">
      <c r="D1242" s="148"/>
      <c r="E1242" s="100"/>
      <c r="F1242" s="100"/>
      <c r="G1242" s="100"/>
      <c r="H1242" s="148"/>
      <c r="I1242" s="100"/>
      <c r="J1242" s="100"/>
      <c r="K1242" s="100"/>
      <c r="L1242" s="100"/>
      <c r="M1242" s="100"/>
    </row>
    <row r="1243" spans="4:13" s="104" customFormat="1">
      <c r="D1243" s="148"/>
      <c r="E1243" s="100"/>
      <c r="F1243" s="100"/>
      <c r="G1243" s="100"/>
      <c r="H1243" s="148"/>
      <c r="I1243" s="100"/>
      <c r="J1243" s="100"/>
      <c r="K1243" s="100"/>
      <c r="L1243" s="100"/>
      <c r="M1243" s="100"/>
    </row>
    <row r="1244" spans="4:13" s="104" customFormat="1">
      <c r="D1244" s="148"/>
      <c r="E1244" s="100"/>
      <c r="F1244" s="100"/>
      <c r="G1244" s="100"/>
      <c r="H1244" s="148"/>
      <c r="I1244" s="100"/>
      <c r="J1244" s="100"/>
      <c r="K1244" s="100"/>
      <c r="L1244" s="100"/>
      <c r="M1244" s="100"/>
    </row>
    <row r="1245" spans="4:13" s="104" customFormat="1">
      <c r="D1245" s="148"/>
      <c r="E1245" s="100"/>
      <c r="F1245" s="100"/>
      <c r="G1245" s="100"/>
      <c r="H1245" s="148"/>
      <c r="I1245" s="100"/>
      <c r="J1245" s="100"/>
      <c r="K1245" s="100"/>
      <c r="L1245" s="100"/>
      <c r="M1245" s="100"/>
    </row>
    <row r="1246" spans="4:13" s="104" customFormat="1">
      <c r="D1246" s="148"/>
      <c r="E1246" s="100"/>
      <c r="F1246" s="100"/>
      <c r="G1246" s="100"/>
      <c r="H1246" s="148"/>
      <c r="I1246" s="100"/>
      <c r="J1246" s="100"/>
      <c r="K1246" s="100"/>
      <c r="L1246" s="100"/>
      <c r="M1246" s="100"/>
    </row>
    <row r="1247" spans="4:13" s="104" customFormat="1">
      <c r="D1247" s="148"/>
      <c r="E1247" s="100"/>
      <c r="F1247" s="100"/>
      <c r="G1247" s="100"/>
      <c r="H1247" s="148"/>
      <c r="I1247" s="100"/>
      <c r="J1247" s="100"/>
      <c r="K1247" s="100"/>
      <c r="L1247" s="100"/>
      <c r="M1247" s="100"/>
    </row>
    <row r="1248" spans="4:13" s="104" customFormat="1">
      <c r="D1248" s="148"/>
      <c r="E1248" s="100"/>
      <c r="F1248" s="100"/>
      <c r="G1248" s="100"/>
      <c r="H1248" s="148"/>
      <c r="I1248" s="100"/>
      <c r="J1248" s="100"/>
      <c r="K1248" s="100"/>
      <c r="L1248" s="100"/>
      <c r="M1248" s="100"/>
    </row>
    <row r="1249" spans="4:13" s="104" customFormat="1">
      <c r="D1249" s="148"/>
      <c r="E1249" s="100"/>
      <c r="F1249" s="100"/>
      <c r="G1249" s="100"/>
      <c r="H1249" s="148"/>
      <c r="I1249" s="100"/>
      <c r="J1249" s="100"/>
      <c r="K1249" s="100"/>
      <c r="L1249" s="100"/>
      <c r="M1249" s="100"/>
    </row>
    <row r="1250" spans="4:13" s="104" customFormat="1">
      <c r="D1250" s="148"/>
      <c r="E1250" s="100"/>
      <c r="F1250" s="100"/>
      <c r="G1250" s="100"/>
      <c r="H1250" s="148"/>
      <c r="I1250" s="100"/>
      <c r="J1250" s="100"/>
      <c r="K1250" s="100"/>
      <c r="L1250" s="100"/>
      <c r="M1250" s="100"/>
    </row>
    <row r="1251" spans="4:13" s="104" customFormat="1">
      <c r="D1251" s="148"/>
      <c r="E1251" s="100"/>
      <c r="F1251" s="100"/>
      <c r="G1251" s="100"/>
      <c r="H1251" s="148"/>
      <c r="I1251" s="100"/>
      <c r="J1251" s="100"/>
      <c r="K1251" s="100"/>
      <c r="L1251" s="100"/>
      <c r="M1251" s="100"/>
    </row>
    <row r="1252" spans="4:13" s="104" customFormat="1">
      <c r="D1252" s="148"/>
      <c r="E1252" s="100"/>
      <c r="F1252" s="100"/>
      <c r="G1252" s="100"/>
      <c r="H1252" s="148"/>
      <c r="I1252" s="100"/>
      <c r="J1252" s="100"/>
      <c r="K1252" s="100"/>
      <c r="L1252" s="100"/>
      <c r="M1252" s="100"/>
    </row>
    <row r="1253" spans="4:13" s="104" customFormat="1">
      <c r="D1253" s="148"/>
      <c r="E1253" s="100"/>
      <c r="F1253" s="100"/>
      <c r="G1253" s="100"/>
      <c r="H1253" s="148"/>
      <c r="I1253" s="100"/>
      <c r="J1253" s="100"/>
      <c r="K1253" s="100"/>
      <c r="L1253" s="100"/>
      <c r="M1253" s="100"/>
    </row>
    <row r="1254" spans="4:13" s="104" customFormat="1">
      <c r="D1254" s="148"/>
      <c r="E1254" s="100"/>
      <c r="F1254" s="100"/>
      <c r="G1254" s="100"/>
      <c r="H1254" s="148"/>
      <c r="I1254" s="100"/>
      <c r="J1254" s="100"/>
      <c r="K1254" s="100"/>
      <c r="L1254" s="100"/>
      <c r="M1254" s="100"/>
    </row>
    <row r="1255" spans="4:13" s="104" customFormat="1">
      <c r="D1255" s="148"/>
      <c r="E1255" s="100"/>
      <c r="F1255" s="100"/>
      <c r="G1255" s="100"/>
      <c r="H1255" s="148"/>
      <c r="I1255" s="100"/>
      <c r="J1255" s="100"/>
      <c r="K1255" s="100"/>
      <c r="L1255" s="100"/>
      <c r="M1255" s="100"/>
    </row>
    <row r="1256" spans="4:13" s="104" customFormat="1">
      <c r="D1256" s="148"/>
      <c r="E1256" s="100"/>
      <c r="F1256" s="100"/>
      <c r="G1256" s="100"/>
      <c r="H1256" s="148"/>
      <c r="I1256" s="100"/>
      <c r="J1256" s="100"/>
      <c r="K1256" s="100"/>
      <c r="L1256" s="100"/>
      <c r="M1256" s="100"/>
    </row>
    <row r="1257" spans="4:13" s="104" customFormat="1">
      <c r="D1257" s="148"/>
      <c r="E1257" s="100"/>
      <c r="F1257" s="100"/>
      <c r="G1257" s="100"/>
      <c r="H1257" s="148"/>
      <c r="I1257" s="100"/>
      <c r="J1257" s="100"/>
      <c r="K1257" s="100"/>
      <c r="L1257" s="100"/>
      <c r="M1257" s="100"/>
    </row>
    <row r="1258" spans="4:13" s="104" customFormat="1">
      <c r="D1258" s="148"/>
      <c r="E1258" s="100"/>
      <c r="F1258" s="100"/>
      <c r="G1258" s="100"/>
      <c r="H1258" s="148"/>
      <c r="I1258" s="100"/>
      <c r="J1258" s="100"/>
      <c r="K1258" s="100"/>
      <c r="L1258" s="100"/>
      <c r="M1258" s="100"/>
    </row>
    <row r="1259" spans="4:13" s="104" customFormat="1">
      <c r="D1259" s="148"/>
      <c r="E1259" s="100"/>
      <c r="F1259" s="100"/>
      <c r="G1259" s="100"/>
      <c r="H1259" s="148"/>
      <c r="I1259" s="100"/>
      <c r="J1259" s="100"/>
      <c r="K1259" s="100"/>
      <c r="L1259" s="100"/>
      <c r="M1259" s="100"/>
    </row>
    <row r="1260" spans="4:13" s="104" customFormat="1">
      <c r="D1260" s="148"/>
      <c r="E1260" s="100"/>
      <c r="F1260" s="100"/>
      <c r="G1260" s="100"/>
      <c r="H1260" s="148"/>
      <c r="I1260" s="100"/>
      <c r="J1260" s="100"/>
      <c r="K1260" s="100"/>
      <c r="L1260" s="100"/>
      <c r="M1260" s="100"/>
    </row>
    <row r="1261" spans="4:13" s="104" customFormat="1">
      <c r="D1261" s="148"/>
      <c r="E1261" s="100"/>
      <c r="F1261" s="100"/>
      <c r="G1261" s="100"/>
      <c r="H1261" s="148"/>
      <c r="I1261" s="100"/>
      <c r="J1261" s="100"/>
      <c r="K1261" s="100"/>
      <c r="L1261" s="100"/>
      <c r="M1261" s="100"/>
    </row>
    <row r="1262" spans="4:13" s="104" customFormat="1">
      <c r="D1262" s="148"/>
      <c r="E1262" s="100"/>
      <c r="F1262" s="100"/>
      <c r="G1262" s="100"/>
      <c r="H1262" s="148"/>
      <c r="I1262" s="100"/>
      <c r="J1262" s="100"/>
      <c r="K1262" s="100"/>
      <c r="L1262" s="100"/>
      <c r="M1262" s="100"/>
    </row>
    <row r="1263" spans="4:13" s="104" customFormat="1">
      <c r="D1263" s="148"/>
      <c r="E1263" s="100"/>
      <c r="F1263" s="100"/>
      <c r="G1263" s="100"/>
      <c r="H1263" s="148"/>
      <c r="I1263" s="100"/>
      <c r="J1263" s="100"/>
      <c r="K1263" s="100"/>
      <c r="L1263" s="100"/>
      <c r="M1263" s="100"/>
    </row>
    <row r="1264" spans="4:13" s="104" customFormat="1">
      <c r="D1264" s="148"/>
      <c r="E1264" s="100"/>
      <c r="F1264" s="100"/>
      <c r="G1264" s="100"/>
      <c r="H1264" s="148"/>
      <c r="I1264" s="100"/>
      <c r="J1264" s="100"/>
      <c r="K1264" s="100"/>
      <c r="L1264" s="100"/>
      <c r="M1264" s="100"/>
    </row>
    <row r="1265" spans="4:13" s="104" customFormat="1">
      <c r="D1265" s="148"/>
      <c r="E1265" s="100"/>
      <c r="F1265" s="100"/>
      <c r="G1265" s="100"/>
      <c r="H1265" s="148"/>
      <c r="I1265" s="100"/>
      <c r="J1265" s="100"/>
      <c r="K1265" s="100"/>
      <c r="L1265" s="100"/>
      <c r="M1265" s="100"/>
    </row>
    <row r="1266" spans="4:13" s="104" customFormat="1">
      <c r="D1266" s="148"/>
      <c r="E1266" s="100"/>
      <c r="F1266" s="100"/>
      <c r="G1266" s="100"/>
      <c r="H1266" s="148"/>
      <c r="I1266" s="100"/>
      <c r="J1266" s="100"/>
      <c r="K1266" s="100"/>
      <c r="L1266" s="100"/>
      <c r="M1266" s="100"/>
    </row>
    <row r="1267" spans="4:13" s="104" customFormat="1">
      <c r="D1267" s="148"/>
      <c r="E1267" s="100"/>
      <c r="F1267" s="100"/>
      <c r="G1267" s="100"/>
      <c r="H1267" s="148"/>
      <c r="I1267" s="100"/>
      <c r="J1267" s="100"/>
      <c r="K1267" s="100"/>
      <c r="L1267" s="100"/>
      <c r="M1267" s="100"/>
    </row>
    <row r="1268" spans="4:13" s="104" customFormat="1">
      <c r="D1268" s="148"/>
      <c r="E1268" s="100"/>
      <c r="F1268" s="100"/>
      <c r="G1268" s="100"/>
      <c r="H1268" s="148"/>
      <c r="I1268" s="100"/>
      <c r="J1268" s="100"/>
      <c r="K1268" s="100"/>
      <c r="L1268" s="100"/>
      <c r="M1268" s="100"/>
    </row>
    <row r="1269" spans="4:13" s="104" customFormat="1">
      <c r="D1269" s="148"/>
      <c r="E1269" s="100"/>
      <c r="F1269" s="100"/>
      <c r="G1269" s="100"/>
      <c r="H1269" s="148"/>
      <c r="I1269" s="100"/>
      <c r="J1269" s="100"/>
      <c r="K1269" s="100"/>
      <c r="L1269" s="100"/>
      <c r="M1269" s="100"/>
    </row>
    <row r="1270" spans="4:13" s="104" customFormat="1">
      <c r="D1270" s="148"/>
      <c r="E1270" s="100"/>
      <c r="F1270" s="100"/>
      <c r="G1270" s="100"/>
      <c r="H1270" s="148"/>
      <c r="I1270" s="100"/>
      <c r="J1270" s="100"/>
      <c r="K1270" s="100"/>
      <c r="L1270" s="100"/>
      <c r="M1270" s="100"/>
    </row>
    <row r="1271" spans="4:13" s="104" customFormat="1">
      <c r="D1271" s="148"/>
      <c r="E1271" s="100"/>
      <c r="F1271" s="100"/>
      <c r="G1271" s="100"/>
      <c r="H1271" s="148"/>
      <c r="I1271" s="100"/>
      <c r="J1271" s="100"/>
      <c r="K1271" s="100"/>
      <c r="L1271" s="100"/>
      <c r="M1271" s="100"/>
    </row>
    <row r="1272" spans="4:13" s="104" customFormat="1">
      <c r="D1272" s="148"/>
      <c r="E1272" s="100"/>
      <c r="F1272" s="100"/>
      <c r="G1272" s="100"/>
      <c r="H1272" s="148"/>
      <c r="I1272" s="100"/>
      <c r="J1272" s="100"/>
      <c r="K1272" s="100"/>
      <c r="L1272" s="100"/>
      <c r="M1272" s="100"/>
    </row>
    <row r="1273" spans="4:13" s="104" customFormat="1">
      <c r="D1273" s="148"/>
      <c r="E1273" s="100"/>
      <c r="F1273" s="100"/>
      <c r="G1273" s="100"/>
      <c r="H1273" s="148"/>
      <c r="I1273" s="100"/>
      <c r="J1273" s="100"/>
      <c r="K1273" s="100"/>
      <c r="L1273" s="100"/>
      <c r="M1273" s="100"/>
    </row>
    <row r="1274" spans="4:13" s="104" customFormat="1">
      <c r="D1274" s="148"/>
      <c r="E1274" s="100"/>
      <c r="F1274" s="100"/>
      <c r="G1274" s="100"/>
      <c r="H1274" s="148"/>
      <c r="I1274" s="100"/>
      <c r="J1274" s="100"/>
      <c r="K1274" s="100"/>
      <c r="L1274" s="100"/>
      <c r="M1274" s="100"/>
    </row>
    <row r="1275" spans="4:13" s="104" customFormat="1">
      <c r="D1275" s="148"/>
      <c r="E1275" s="100"/>
      <c r="F1275" s="100"/>
      <c r="G1275" s="100"/>
      <c r="H1275" s="148"/>
      <c r="I1275" s="100"/>
      <c r="J1275" s="100"/>
      <c r="K1275" s="100"/>
      <c r="L1275" s="100"/>
      <c r="M1275" s="100"/>
    </row>
    <row r="1276" spans="4:13" s="104" customFormat="1">
      <c r="D1276" s="148"/>
      <c r="E1276" s="100"/>
      <c r="F1276" s="100"/>
      <c r="G1276" s="100"/>
      <c r="H1276" s="148"/>
      <c r="I1276" s="100"/>
      <c r="J1276" s="100"/>
      <c r="K1276" s="100"/>
      <c r="L1276" s="100"/>
      <c r="M1276" s="100"/>
    </row>
    <row r="1277" spans="4:13" s="104" customFormat="1">
      <c r="D1277" s="148"/>
      <c r="E1277" s="100"/>
      <c r="F1277" s="100"/>
      <c r="G1277" s="100"/>
      <c r="H1277" s="148"/>
      <c r="I1277" s="100"/>
      <c r="J1277" s="100"/>
      <c r="K1277" s="100"/>
      <c r="L1277" s="100"/>
      <c r="M1277" s="100"/>
    </row>
    <row r="1278" spans="4:13" s="104" customFormat="1">
      <c r="D1278" s="148"/>
      <c r="E1278" s="100"/>
      <c r="F1278" s="100"/>
      <c r="G1278" s="100"/>
      <c r="H1278" s="148"/>
      <c r="I1278" s="100"/>
      <c r="J1278" s="100"/>
      <c r="K1278" s="100"/>
      <c r="L1278" s="100"/>
      <c r="M1278" s="100"/>
    </row>
    <row r="1279" spans="4:13" s="104" customFormat="1">
      <c r="D1279" s="148"/>
      <c r="E1279" s="100"/>
      <c r="F1279" s="100"/>
      <c r="G1279" s="100"/>
      <c r="H1279" s="148"/>
      <c r="I1279" s="100"/>
      <c r="J1279" s="100"/>
      <c r="K1279" s="100"/>
      <c r="L1279" s="100"/>
      <c r="M1279" s="100"/>
    </row>
    <row r="1280" spans="4:13" s="104" customFormat="1">
      <c r="D1280" s="148"/>
      <c r="E1280" s="100"/>
      <c r="F1280" s="100"/>
      <c r="G1280" s="100"/>
      <c r="H1280" s="148"/>
      <c r="I1280" s="100"/>
      <c r="J1280" s="100"/>
      <c r="K1280" s="100"/>
      <c r="L1280" s="100"/>
      <c r="M1280" s="100"/>
    </row>
    <row r="1281" spans="4:13" s="104" customFormat="1">
      <c r="D1281" s="148"/>
      <c r="E1281" s="100"/>
      <c r="F1281" s="100"/>
      <c r="G1281" s="100"/>
      <c r="H1281" s="148"/>
      <c r="I1281" s="100"/>
      <c r="J1281" s="100"/>
      <c r="K1281" s="100"/>
      <c r="L1281" s="100"/>
      <c r="M1281" s="100"/>
    </row>
    <row r="1282" spans="4:13" s="104" customFormat="1">
      <c r="D1282" s="148"/>
      <c r="E1282" s="100"/>
      <c r="F1282" s="100"/>
      <c r="G1282" s="100"/>
      <c r="H1282" s="148"/>
      <c r="I1282" s="100"/>
      <c r="J1282" s="100"/>
      <c r="K1282" s="100"/>
      <c r="L1282" s="100"/>
      <c r="M1282" s="100"/>
    </row>
    <row r="1283" spans="4:13" s="104" customFormat="1">
      <c r="D1283" s="148"/>
      <c r="E1283" s="100"/>
      <c r="F1283" s="100"/>
      <c r="G1283" s="100"/>
      <c r="H1283" s="148"/>
      <c r="I1283" s="100"/>
      <c r="J1283" s="100"/>
      <c r="K1283" s="100"/>
      <c r="L1283" s="100"/>
      <c r="M1283" s="100"/>
    </row>
    <row r="1284" spans="4:13" s="104" customFormat="1">
      <c r="D1284" s="148"/>
      <c r="E1284" s="100"/>
      <c r="F1284" s="100"/>
      <c r="G1284" s="100"/>
      <c r="H1284" s="148"/>
      <c r="I1284" s="100"/>
      <c r="J1284" s="100"/>
      <c r="K1284" s="100"/>
      <c r="L1284" s="100"/>
      <c r="M1284" s="100"/>
    </row>
    <row r="1285" spans="4:13" s="104" customFormat="1">
      <c r="D1285" s="148"/>
      <c r="E1285" s="100"/>
      <c r="F1285" s="100"/>
      <c r="G1285" s="100"/>
      <c r="H1285" s="148"/>
      <c r="I1285" s="100"/>
      <c r="J1285" s="100"/>
      <c r="K1285" s="100"/>
      <c r="L1285" s="100"/>
      <c r="M1285" s="100"/>
    </row>
    <row r="1286" spans="4:13" s="104" customFormat="1">
      <c r="D1286" s="148"/>
      <c r="E1286" s="100"/>
      <c r="F1286" s="100"/>
      <c r="G1286" s="100"/>
      <c r="H1286" s="148"/>
      <c r="I1286" s="100"/>
      <c r="J1286" s="100"/>
      <c r="K1286" s="100"/>
      <c r="L1286" s="100"/>
      <c r="M1286" s="100"/>
    </row>
    <row r="1287" spans="4:13" s="104" customFormat="1">
      <c r="D1287" s="148"/>
      <c r="E1287" s="100"/>
      <c r="F1287" s="100"/>
      <c r="G1287" s="100"/>
      <c r="H1287" s="148"/>
      <c r="I1287" s="100"/>
      <c r="J1287" s="100"/>
      <c r="K1287" s="100"/>
      <c r="L1287" s="100"/>
      <c r="M1287" s="100"/>
    </row>
    <row r="1288" spans="4:13" s="104" customFormat="1">
      <c r="D1288" s="148"/>
      <c r="E1288" s="100"/>
      <c r="F1288" s="100"/>
      <c r="G1288" s="100"/>
      <c r="H1288" s="148"/>
      <c r="I1288" s="100"/>
      <c r="J1288" s="100"/>
      <c r="K1288" s="100"/>
      <c r="L1288" s="100"/>
      <c r="M1288" s="100"/>
    </row>
    <row r="1289" spans="4:13" s="104" customFormat="1">
      <c r="D1289" s="148"/>
      <c r="E1289" s="100"/>
      <c r="F1289" s="100"/>
      <c r="G1289" s="100"/>
      <c r="H1289" s="148"/>
      <c r="I1289" s="100"/>
      <c r="J1289" s="100"/>
      <c r="K1289" s="100"/>
      <c r="L1289" s="100"/>
      <c r="M1289" s="100"/>
    </row>
    <row r="1290" spans="4:13" s="104" customFormat="1">
      <c r="D1290" s="148"/>
      <c r="E1290" s="100"/>
      <c r="F1290" s="100"/>
      <c r="G1290" s="100"/>
      <c r="H1290" s="148"/>
      <c r="I1290" s="100"/>
      <c r="J1290" s="100"/>
      <c r="K1290" s="100"/>
      <c r="L1290" s="100"/>
      <c r="M1290" s="100"/>
    </row>
    <row r="1291" spans="4:13" s="104" customFormat="1">
      <c r="D1291" s="148"/>
      <c r="E1291" s="100"/>
      <c r="F1291" s="100"/>
      <c r="G1291" s="100"/>
      <c r="H1291" s="148"/>
      <c r="I1291" s="100"/>
      <c r="J1291" s="100"/>
      <c r="K1291" s="100"/>
      <c r="L1291" s="100"/>
      <c r="M1291" s="100"/>
    </row>
    <row r="1292" spans="4:13" s="104" customFormat="1">
      <c r="D1292" s="148"/>
      <c r="E1292" s="100"/>
      <c r="F1292" s="100"/>
      <c r="G1292" s="100"/>
      <c r="H1292" s="148"/>
      <c r="I1292" s="100"/>
      <c r="J1292" s="100"/>
      <c r="K1292" s="100"/>
      <c r="L1292" s="100"/>
      <c r="M1292" s="100"/>
    </row>
    <row r="1293" spans="4:13" s="104" customFormat="1">
      <c r="D1293" s="148"/>
      <c r="E1293" s="100"/>
      <c r="F1293" s="100"/>
      <c r="G1293" s="100"/>
      <c r="H1293" s="148"/>
      <c r="I1293" s="100"/>
      <c r="J1293" s="100"/>
      <c r="K1293" s="100"/>
      <c r="L1293" s="100"/>
      <c r="M1293" s="100"/>
    </row>
    <row r="1294" spans="4:13" s="104" customFormat="1">
      <c r="D1294" s="148"/>
      <c r="E1294" s="100"/>
      <c r="F1294" s="100"/>
      <c r="G1294" s="100"/>
      <c r="H1294" s="148"/>
      <c r="I1294" s="100"/>
      <c r="J1294" s="100"/>
      <c r="K1294" s="100"/>
      <c r="L1294" s="100"/>
      <c r="M1294" s="100"/>
    </row>
    <row r="1295" spans="4:13" s="104" customFormat="1">
      <c r="D1295" s="148"/>
      <c r="E1295" s="100"/>
      <c r="F1295" s="100"/>
      <c r="G1295" s="100"/>
      <c r="H1295" s="148"/>
      <c r="I1295" s="100"/>
      <c r="J1295" s="100"/>
      <c r="K1295" s="100"/>
      <c r="L1295" s="100"/>
      <c r="M1295" s="100"/>
    </row>
    <row r="1296" spans="4:13" s="104" customFormat="1">
      <c r="D1296" s="148"/>
      <c r="E1296" s="100"/>
      <c r="F1296" s="100"/>
      <c r="G1296" s="100"/>
      <c r="H1296" s="148"/>
      <c r="I1296" s="100"/>
      <c r="J1296" s="100"/>
      <c r="K1296" s="100"/>
      <c r="L1296" s="100"/>
      <c r="M1296" s="100"/>
    </row>
    <row r="1297" spans="4:13" s="104" customFormat="1">
      <c r="D1297" s="148"/>
      <c r="E1297" s="100"/>
      <c r="F1297" s="100"/>
      <c r="G1297" s="100"/>
      <c r="H1297" s="148"/>
      <c r="I1297" s="100"/>
      <c r="J1297" s="100"/>
      <c r="K1297" s="100"/>
      <c r="L1297" s="100"/>
      <c r="M1297" s="100"/>
    </row>
    <row r="1298" spans="4:13" s="104" customFormat="1">
      <c r="D1298" s="148"/>
      <c r="E1298" s="100"/>
      <c r="F1298" s="100"/>
      <c r="G1298" s="100"/>
      <c r="H1298" s="148"/>
      <c r="I1298" s="100"/>
      <c r="J1298" s="100"/>
      <c r="K1298" s="100"/>
      <c r="L1298" s="100"/>
      <c r="M1298" s="100"/>
    </row>
    <row r="1299" spans="4:13" s="104" customFormat="1">
      <c r="D1299" s="148"/>
      <c r="E1299" s="100"/>
      <c r="F1299" s="100"/>
      <c r="G1299" s="100"/>
      <c r="H1299" s="148"/>
      <c r="I1299" s="100"/>
      <c r="J1299" s="100"/>
      <c r="K1299" s="100"/>
      <c r="L1299" s="100"/>
      <c r="M1299" s="100"/>
    </row>
    <row r="1300" spans="4:13" s="104" customFormat="1">
      <c r="D1300" s="148"/>
      <c r="E1300" s="100"/>
      <c r="F1300" s="100"/>
      <c r="G1300" s="100"/>
      <c r="H1300" s="148"/>
      <c r="I1300" s="100"/>
      <c r="J1300" s="100"/>
      <c r="K1300" s="100"/>
      <c r="L1300" s="100"/>
      <c r="M1300" s="100"/>
    </row>
    <row r="1301" spans="4:13" s="104" customFormat="1">
      <c r="D1301" s="148"/>
      <c r="E1301" s="100"/>
      <c r="F1301" s="100"/>
      <c r="G1301" s="100"/>
      <c r="H1301" s="148"/>
      <c r="I1301" s="100"/>
      <c r="J1301" s="100"/>
      <c r="K1301" s="100"/>
      <c r="L1301" s="100"/>
      <c r="M1301" s="100"/>
    </row>
    <row r="1302" spans="4:13" s="104" customFormat="1">
      <c r="D1302" s="148"/>
      <c r="E1302" s="100"/>
      <c r="F1302" s="100"/>
      <c r="G1302" s="100"/>
      <c r="H1302" s="148"/>
      <c r="I1302" s="100"/>
      <c r="J1302" s="100"/>
      <c r="K1302" s="100"/>
      <c r="L1302" s="100"/>
      <c r="M1302" s="100"/>
    </row>
    <row r="1303" spans="4:13" s="104" customFormat="1">
      <c r="D1303" s="148"/>
      <c r="E1303" s="100"/>
      <c r="F1303" s="100"/>
      <c r="G1303" s="100"/>
      <c r="H1303" s="148"/>
      <c r="I1303" s="100"/>
      <c r="J1303" s="100"/>
      <c r="K1303" s="100"/>
      <c r="L1303" s="100"/>
      <c r="M1303" s="100"/>
    </row>
    <row r="1304" spans="4:13" s="104" customFormat="1">
      <c r="D1304" s="148"/>
      <c r="E1304" s="100"/>
      <c r="F1304" s="100"/>
      <c r="G1304" s="100"/>
      <c r="H1304" s="148"/>
      <c r="I1304" s="100"/>
      <c r="J1304" s="100"/>
      <c r="K1304" s="100"/>
      <c r="L1304" s="100"/>
      <c r="M1304" s="100"/>
    </row>
    <row r="1305" spans="4:13" s="104" customFormat="1">
      <c r="D1305" s="148"/>
      <c r="E1305" s="100"/>
      <c r="F1305" s="100"/>
      <c r="G1305" s="100"/>
      <c r="H1305" s="148"/>
      <c r="I1305" s="100"/>
      <c r="J1305" s="100"/>
      <c r="K1305" s="100"/>
      <c r="L1305" s="100"/>
      <c r="M1305" s="100"/>
    </row>
    <row r="1306" spans="4:13" s="104" customFormat="1">
      <c r="D1306" s="148"/>
      <c r="E1306" s="100"/>
      <c r="F1306" s="100"/>
      <c r="G1306" s="100"/>
      <c r="H1306" s="148"/>
      <c r="I1306" s="100"/>
      <c r="J1306" s="100"/>
      <c r="K1306" s="100"/>
      <c r="L1306" s="100"/>
      <c r="M1306" s="100"/>
    </row>
    <row r="1307" spans="4:13" s="104" customFormat="1">
      <c r="D1307" s="148"/>
      <c r="E1307" s="100"/>
      <c r="F1307" s="100"/>
      <c r="G1307" s="100"/>
      <c r="H1307" s="148"/>
      <c r="I1307" s="100"/>
      <c r="J1307" s="100"/>
      <c r="K1307" s="100"/>
      <c r="L1307" s="100"/>
      <c r="M1307" s="100"/>
    </row>
    <row r="1308" spans="4:13" s="104" customFormat="1">
      <c r="D1308" s="148"/>
      <c r="E1308" s="100"/>
      <c r="F1308" s="100"/>
      <c r="G1308" s="100"/>
      <c r="H1308" s="148"/>
      <c r="I1308" s="100"/>
      <c r="J1308" s="100"/>
      <c r="K1308" s="100"/>
      <c r="L1308" s="100"/>
      <c r="M1308" s="100"/>
    </row>
    <row r="1309" spans="4:13" s="104" customFormat="1">
      <c r="D1309" s="148"/>
      <c r="E1309" s="100"/>
      <c r="F1309" s="100"/>
      <c r="G1309" s="100"/>
      <c r="H1309" s="148"/>
      <c r="I1309" s="100"/>
      <c r="J1309" s="100"/>
      <c r="K1309" s="100"/>
      <c r="L1309" s="100"/>
      <c r="M1309" s="100"/>
    </row>
    <row r="1310" spans="4:13" s="104" customFormat="1">
      <c r="D1310" s="148"/>
      <c r="E1310" s="100"/>
      <c r="F1310" s="100"/>
      <c r="G1310" s="100"/>
      <c r="H1310" s="148"/>
      <c r="I1310" s="100"/>
      <c r="J1310" s="100"/>
      <c r="K1310" s="100"/>
      <c r="L1310" s="100"/>
      <c r="M1310" s="100"/>
    </row>
    <row r="1311" spans="4:13" s="104" customFormat="1">
      <c r="D1311" s="148"/>
      <c r="E1311" s="100"/>
      <c r="F1311" s="100"/>
      <c r="G1311" s="100"/>
      <c r="H1311" s="148"/>
      <c r="I1311" s="100"/>
      <c r="J1311" s="100"/>
      <c r="K1311" s="100"/>
      <c r="L1311" s="100"/>
      <c r="M1311" s="100"/>
    </row>
    <row r="1312" spans="4:13" s="104" customFormat="1">
      <c r="D1312" s="148"/>
      <c r="E1312" s="100"/>
      <c r="F1312" s="100"/>
      <c r="G1312" s="100"/>
      <c r="H1312" s="148"/>
      <c r="I1312" s="100"/>
      <c r="J1312" s="100"/>
      <c r="K1312" s="100"/>
      <c r="L1312" s="100"/>
      <c r="M1312" s="100"/>
    </row>
    <row r="1313" spans="4:13" s="104" customFormat="1">
      <c r="D1313" s="148"/>
      <c r="E1313" s="100"/>
      <c r="F1313" s="100"/>
      <c r="G1313" s="100"/>
      <c r="H1313" s="148"/>
      <c r="I1313" s="100"/>
      <c r="J1313" s="100"/>
      <c r="K1313" s="100"/>
      <c r="L1313" s="100"/>
      <c r="M1313" s="100"/>
    </row>
    <row r="1314" spans="4:13" s="104" customFormat="1">
      <c r="D1314" s="148"/>
      <c r="E1314" s="100"/>
      <c r="F1314" s="100"/>
      <c r="G1314" s="100"/>
      <c r="H1314" s="148"/>
      <c r="I1314" s="100"/>
      <c r="J1314" s="100"/>
      <c r="K1314" s="100"/>
      <c r="L1314" s="100"/>
      <c r="M1314" s="100"/>
    </row>
    <row r="1315" spans="4:13" s="104" customFormat="1">
      <c r="D1315" s="148"/>
      <c r="E1315" s="100"/>
      <c r="F1315" s="100"/>
      <c r="G1315" s="100"/>
      <c r="H1315" s="148"/>
      <c r="I1315" s="100"/>
      <c r="J1315" s="100"/>
      <c r="K1315" s="100"/>
      <c r="L1315" s="100"/>
      <c r="M1315" s="100"/>
    </row>
    <row r="1316" spans="4:13" s="104" customFormat="1">
      <c r="D1316" s="148"/>
      <c r="E1316" s="100"/>
      <c r="F1316" s="100"/>
      <c r="G1316" s="100"/>
      <c r="H1316" s="148"/>
      <c r="I1316" s="100"/>
      <c r="J1316" s="100"/>
      <c r="K1316" s="100"/>
      <c r="L1316" s="100"/>
      <c r="M1316" s="100"/>
    </row>
    <row r="1317" spans="4:13" s="104" customFormat="1">
      <c r="D1317" s="148"/>
      <c r="E1317" s="100"/>
      <c r="F1317" s="100"/>
      <c r="G1317" s="100"/>
      <c r="H1317" s="148"/>
      <c r="I1317" s="100"/>
      <c r="J1317" s="100"/>
      <c r="K1317" s="100"/>
      <c r="L1317" s="100"/>
      <c r="M1317" s="100"/>
    </row>
    <row r="1318" spans="4:13" s="104" customFormat="1">
      <c r="D1318" s="148"/>
      <c r="E1318" s="100"/>
      <c r="F1318" s="100"/>
      <c r="G1318" s="100"/>
      <c r="H1318" s="148"/>
      <c r="I1318" s="100"/>
      <c r="J1318" s="100"/>
      <c r="K1318" s="100"/>
      <c r="L1318" s="100"/>
      <c r="M1318" s="100"/>
    </row>
    <row r="1319" spans="4:13" s="104" customFormat="1">
      <c r="D1319" s="148"/>
      <c r="E1319" s="100"/>
      <c r="F1319" s="100"/>
      <c r="G1319" s="100"/>
      <c r="H1319" s="148"/>
      <c r="I1319" s="100"/>
      <c r="J1319" s="100"/>
      <c r="K1319" s="100"/>
      <c r="L1319" s="100"/>
      <c r="M1319" s="100"/>
    </row>
    <row r="1320" spans="4:13" s="104" customFormat="1">
      <c r="D1320" s="148"/>
      <c r="E1320" s="100"/>
      <c r="F1320" s="100"/>
      <c r="G1320" s="100"/>
      <c r="H1320" s="148"/>
      <c r="I1320" s="100"/>
      <c r="J1320" s="100"/>
      <c r="K1320" s="100"/>
      <c r="L1320" s="100"/>
      <c r="M1320" s="100"/>
    </row>
    <row r="1321" spans="4:13" s="104" customFormat="1">
      <c r="D1321" s="148"/>
      <c r="E1321" s="100"/>
      <c r="F1321" s="100"/>
      <c r="G1321" s="100"/>
      <c r="H1321" s="148"/>
      <c r="I1321" s="100"/>
      <c r="J1321" s="100"/>
      <c r="K1321" s="100"/>
      <c r="L1321" s="100"/>
      <c r="M1321" s="100"/>
    </row>
    <row r="1322" spans="4:13" s="104" customFormat="1">
      <c r="D1322" s="148"/>
      <c r="E1322" s="100"/>
      <c r="F1322" s="100"/>
      <c r="G1322" s="100"/>
      <c r="H1322" s="148"/>
      <c r="I1322" s="100"/>
      <c r="J1322" s="100"/>
      <c r="K1322" s="100"/>
      <c r="L1322" s="100"/>
      <c r="M1322" s="100"/>
    </row>
    <row r="1323" spans="4:13" s="104" customFormat="1">
      <c r="D1323" s="148"/>
      <c r="E1323" s="100"/>
      <c r="F1323" s="100"/>
      <c r="G1323" s="100"/>
      <c r="H1323" s="148"/>
      <c r="I1323" s="100"/>
      <c r="J1323" s="100"/>
      <c r="K1323" s="100"/>
      <c r="L1323" s="100"/>
      <c r="M1323" s="100"/>
    </row>
    <row r="1324" spans="4:13" s="104" customFormat="1">
      <c r="D1324" s="148"/>
      <c r="E1324" s="100"/>
      <c r="F1324" s="100"/>
      <c r="G1324" s="100"/>
      <c r="H1324" s="148"/>
      <c r="I1324" s="100"/>
      <c r="J1324" s="100"/>
      <c r="K1324" s="100"/>
      <c r="L1324" s="100"/>
      <c r="M1324" s="100"/>
    </row>
    <row r="1325" spans="4:13" s="104" customFormat="1">
      <c r="D1325" s="148"/>
      <c r="E1325" s="100"/>
      <c r="F1325" s="100"/>
      <c r="G1325" s="100"/>
      <c r="H1325" s="148"/>
      <c r="I1325" s="100"/>
      <c r="J1325" s="100"/>
      <c r="K1325" s="100"/>
      <c r="L1325" s="100"/>
      <c r="M1325" s="100"/>
    </row>
    <row r="1326" spans="4:13" s="104" customFormat="1">
      <c r="D1326" s="148"/>
      <c r="E1326" s="100"/>
      <c r="F1326" s="100"/>
      <c r="G1326" s="100"/>
      <c r="H1326" s="148"/>
      <c r="I1326" s="100"/>
      <c r="J1326" s="100"/>
      <c r="K1326" s="100"/>
      <c r="L1326" s="100"/>
      <c r="M1326" s="100"/>
    </row>
    <row r="1327" spans="4:13" s="104" customFormat="1">
      <c r="D1327" s="148"/>
      <c r="E1327" s="100"/>
      <c r="F1327" s="100"/>
      <c r="G1327" s="100"/>
      <c r="H1327" s="148"/>
      <c r="I1327" s="100"/>
      <c r="J1327" s="100"/>
      <c r="K1327" s="100"/>
      <c r="L1327" s="100"/>
      <c r="M1327" s="100"/>
    </row>
    <row r="1328" spans="4:13" s="104" customFormat="1">
      <c r="D1328" s="148"/>
      <c r="E1328" s="100"/>
      <c r="F1328" s="100"/>
      <c r="G1328" s="100"/>
      <c r="H1328" s="148"/>
      <c r="I1328" s="100"/>
      <c r="J1328" s="100"/>
      <c r="K1328" s="100"/>
      <c r="L1328" s="100"/>
      <c r="M1328" s="100"/>
    </row>
    <row r="1329" spans="4:13" s="104" customFormat="1">
      <c r="D1329" s="148"/>
      <c r="E1329" s="100"/>
      <c r="F1329" s="100"/>
      <c r="G1329" s="100"/>
      <c r="H1329" s="148"/>
      <c r="I1329" s="100"/>
      <c r="J1329" s="100"/>
      <c r="K1329" s="100"/>
      <c r="L1329" s="100"/>
      <c r="M1329" s="100"/>
    </row>
    <row r="1330" spans="4:13" s="104" customFormat="1">
      <c r="D1330" s="148"/>
      <c r="E1330" s="100"/>
      <c r="F1330" s="100"/>
      <c r="G1330" s="100"/>
      <c r="H1330" s="148"/>
      <c r="I1330" s="100"/>
      <c r="J1330" s="100"/>
      <c r="K1330" s="100"/>
      <c r="L1330" s="100"/>
      <c r="M1330" s="100"/>
    </row>
    <row r="1331" spans="4:13" s="104" customFormat="1">
      <c r="D1331" s="148"/>
      <c r="E1331" s="100"/>
      <c r="F1331" s="100"/>
      <c r="G1331" s="100"/>
      <c r="H1331" s="148"/>
      <c r="I1331" s="100"/>
      <c r="J1331" s="100"/>
      <c r="K1331" s="100"/>
      <c r="L1331" s="100"/>
      <c r="M1331" s="100"/>
    </row>
    <row r="1332" spans="4:13" s="104" customFormat="1">
      <c r="D1332" s="148"/>
      <c r="E1332" s="100"/>
      <c r="F1332" s="100"/>
      <c r="G1332" s="100"/>
      <c r="H1332" s="148"/>
      <c r="I1332" s="100"/>
      <c r="J1332" s="100"/>
      <c r="K1332" s="100"/>
      <c r="L1332" s="100"/>
      <c r="M1332" s="100"/>
    </row>
    <row r="1333" spans="4:13" s="104" customFormat="1">
      <c r="D1333" s="148"/>
      <c r="E1333" s="100"/>
      <c r="F1333" s="100"/>
      <c r="G1333" s="100"/>
      <c r="H1333" s="148"/>
      <c r="I1333" s="100"/>
      <c r="J1333" s="100"/>
      <c r="K1333" s="100"/>
      <c r="L1333" s="100"/>
      <c r="M1333" s="100"/>
    </row>
    <row r="1334" spans="4:13" s="104" customFormat="1">
      <c r="D1334" s="148"/>
      <c r="E1334" s="100"/>
      <c r="F1334" s="100"/>
      <c r="G1334" s="100"/>
      <c r="H1334" s="148"/>
      <c r="I1334" s="100"/>
      <c r="J1334" s="100"/>
      <c r="K1334" s="100"/>
      <c r="L1334" s="100"/>
      <c r="M1334" s="100"/>
    </row>
    <row r="1335" spans="4:13" s="104" customFormat="1">
      <c r="D1335" s="148"/>
      <c r="E1335" s="100"/>
      <c r="F1335" s="100"/>
      <c r="G1335" s="100"/>
      <c r="H1335" s="148"/>
      <c r="I1335" s="100"/>
      <c r="J1335" s="100"/>
      <c r="K1335" s="100"/>
      <c r="L1335" s="100"/>
      <c r="M1335" s="100"/>
    </row>
    <row r="1336" spans="4:13" s="104" customFormat="1">
      <c r="D1336" s="148"/>
      <c r="E1336" s="100"/>
      <c r="F1336" s="100"/>
      <c r="G1336" s="100"/>
      <c r="H1336" s="148"/>
      <c r="I1336" s="100"/>
      <c r="J1336" s="100"/>
      <c r="K1336" s="100"/>
      <c r="L1336" s="100"/>
      <c r="M1336" s="100"/>
    </row>
    <row r="1337" spans="4:13" s="104" customFormat="1">
      <c r="D1337" s="148"/>
      <c r="E1337" s="100"/>
      <c r="F1337" s="100"/>
      <c r="G1337" s="100"/>
      <c r="H1337" s="148"/>
      <c r="I1337" s="100"/>
      <c r="J1337" s="100"/>
      <c r="K1337" s="100"/>
      <c r="L1337" s="100"/>
      <c r="M1337" s="100"/>
    </row>
    <row r="1338" spans="4:13" s="104" customFormat="1">
      <c r="D1338" s="148"/>
      <c r="E1338" s="100"/>
      <c r="F1338" s="100"/>
      <c r="G1338" s="100"/>
      <c r="H1338" s="148"/>
      <c r="I1338" s="100"/>
      <c r="J1338" s="100"/>
      <c r="K1338" s="100"/>
      <c r="L1338" s="100"/>
      <c r="M1338" s="100"/>
    </row>
    <row r="1339" spans="4:13" s="104" customFormat="1">
      <c r="D1339" s="148"/>
      <c r="E1339" s="100"/>
      <c r="F1339" s="100"/>
      <c r="G1339" s="100"/>
      <c r="H1339" s="148"/>
      <c r="I1339" s="100"/>
      <c r="J1339" s="100"/>
      <c r="K1339" s="100"/>
      <c r="L1339" s="100"/>
      <c r="M1339" s="100"/>
    </row>
    <row r="1340" spans="4:13" s="104" customFormat="1">
      <c r="D1340" s="148"/>
      <c r="E1340" s="100"/>
      <c r="F1340" s="100"/>
      <c r="G1340" s="100"/>
      <c r="H1340" s="148"/>
      <c r="I1340" s="100"/>
      <c r="J1340" s="100"/>
      <c r="K1340" s="100"/>
      <c r="L1340" s="100"/>
      <c r="M1340" s="100"/>
    </row>
    <row r="1341" spans="4:13" s="104" customFormat="1">
      <c r="D1341" s="148"/>
      <c r="E1341" s="100"/>
      <c r="F1341" s="100"/>
      <c r="G1341" s="100"/>
      <c r="H1341" s="148"/>
      <c r="I1341" s="100"/>
      <c r="J1341" s="100"/>
      <c r="K1341" s="100"/>
      <c r="L1341" s="100"/>
      <c r="M1341" s="100"/>
    </row>
    <row r="1342" spans="4:13" s="104" customFormat="1">
      <c r="D1342" s="148"/>
      <c r="E1342" s="100"/>
      <c r="F1342" s="100"/>
      <c r="G1342" s="100"/>
      <c r="H1342" s="148"/>
      <c r="I1342" s="100"/>
      <c r="J1342" s="100"/>
      <c r="K1342" s="100"/>
      <c r="L1342" s="100"/>
      <c r="M1342" s="100"/>
    </row>
    <row r="1343" spans="4:13" s="104" customFormat="1">
      <c r="D1343" s="148"/>
      <c r="E1343" s="100"/>
      <c r="F1343" s="100"/>
      <c r="G1343" s="100"/>
      <c r="H1343" s="148"/>
      <c r="I1343" s="100"/>
      <c r="J1343" s="100"/>
      <c r="K1343" s="100"/>
      <c r="L1343" s="100"/>
      <c r="M1343" s="100"/>
    </row>
    <row r="1344" spans="4:13" s="104" customFormat="1">
      <c r="D1344" s="148"/>
      <c r="E1344" s="100"/>
      <c r="F1344" s="100"/>
      <c r="G1344" s="100"/>
      <c r="H1344" s="148"/>
      <c r="I1344" s="100"/>
      <c r="J1344" s="100"/>
      <c r="K1344" s="100"/>
      <c r="L1344" s="100"/>
      <c r="M1344" s="100"/>
    </row>
    <row r="1345" spans="4:13" s="104" customFormat="1">
      <c r="D1345" s="148"/>
      <c r="E1345" s="100"/>
      <c r="F1345" s="100"/>
      <c r="G1345" s="100"/>
      <c r="H1345" s="148"/>
      <c r="I1345" s="100"/>
      <c r="J1345" s="100"/>
      <c r="K1345" s="100"/>
      <c r="L1345" s="100"/>
      <c r="M1345" s="100"/>
    </row>
    <row r="1346" spans="4:13" s="104" customFormat="1">
      <c r="D1346" s="148"/>
      <c r="E1346" s="100"/>
      <c r="F1346" s="100"/>
      <c r="G1346" s="100"/>
      <c r="H1346" s="148"/>
      <c r="I1346" s="100"/>
      <c r="J1346" s="100"/>
      <c r="K1346" s="100"/>
      <c r="L1346" s="100"/>
      <c r="M1346" s="100"/>
    </row>
    <row r="1347" spans="4:13" s="104" customFormat="1">
      <c r="D1347" s="148"/>
      <c r="E1347" s="100"/>
      <c r="F1347" s="100"/>
      <c r="G1347" s="100"/>
      <c r="H1347" s="148"/>
      <c r="I1347" s="100"/>
      <c r="J1347" s="100"/>
      <c r="K1347" s="100"/>
      <c r="L1347" s="100"/>
      <c r="M1347" s="100"/>
    </row>
    <row r="1348" spans="4:13" s="104" customFormat="1">
      <c r="D1348" s="148"/>
      <c r="E1348" s="100"/>
      <c r="F1348" s="100"/>
      <c r="G1348" s="100"/>
      <c r="H1348" s="148"/>
      <c r="I1348" s="100"/>
      <c r="J1348" s="100"/>
      <c r="K1348" s="100"/>
      <c r="L1348" s="100"/>
      <c r="M1348" s="100"/>
    </row>
    <row r="1349" spans="4:13" s="104" customFormat="1">
      <c r="D1349" s="148"/>
      <c r="E1349" s="100"/>
      <c r="F1349" s="100"/>
      <c r="G1349" s="100"/>
      <c r="H1349" s="148"/>
      <c r="I1349" s="100"/>
      <c r="J1349" s="100"/>
      <c r="K1349" s="100"/>
      <c r="L1349" s="100"/>
      <c r="M1349" s="100"/>
    </row>
    <row r="1350" spans="4:13" s="104" customFormat="1">
      <c r="D1350" s="148"/>
      <c r="E1350" s="100"/>
      <c r="F1350" s="100"/>
      <c r="G1350" s="100"/>
      <c r="H1350" s="148"/>
      <c r="I1350" s="100"/>
      <c r="J1350" s="100"/>
      <c r="K1350" s="100"/>
      <c r="L1350" s="100"/>
      <c r="M1350" s="100"/>
    </row>
    <row r="1351" spans="4:13" s="104" customFormat="1">
      <c r="D1351" s="148"/>
      <c r="E1351" s="100"/>
      <c r="F1351" s="100"/>
      <c r="G1351" s="100"/>
      <c r="H1351" s="148"/>
      <c r="I1351" s="100"/>
      <c r="J1351" s="100"/>
      <c r="K1351" s="100"/>
      <c r="L1351" s="100"/>
      <c r="M1351" s="100"/>
    </row>
    <row r="1352" spans="4:13" s="104" customFormat="1">
      <c r="D1352" s="148"/>
      <c r="E1352" s="100"/>
      <c r="F1352" s="100"/>
      <c r="G1352" s="100"/>
      <c r="H1352" s="148"/>
      <c r="I1352" s="100"/>
      <c r="J1352" s="100"/>
      <c r="K1352" s="100"/>
      <c r="L1352" s="100"/>
      <c r="M1352" s="100"/>
    </row>
    <row r="1353" spans="4:13" s="104" customFormat="1">
      <c r="D1353" s="148"/>
      <c r="E1353" s="100"/>
      <c r="F1353" s="100"/>
      <c r="G1353" s="100"/>
      <c r="H1353" s="148"/>
      <c r="I1353" s="100"/>
      <c r="J1353" s="100"/>
      <c r="K1353" s="100"/>
      <c r="L1353" s="100"/>
      <c r="M1353" s="100"/>
    </row>
    <row r="1354" spans="4:13" s="104" customFormat="1">
      <c r="D1354" s="148"/>
      <c r="E1354" s="100"/>
      <c r="F1354" s="100"/>
      <c r="G1354" s="100"/>
      <c r="H1354" s="148"/>
      <c r="I1354" s="100"/>
      <c r="J1354" s="100"/>
      <c r="K1354" s="100"/>
      <c r="L1354" s="100"/>
      <c r="M1354" s="100"/>
    </row>
    <row r="1355" spans="4:13" s="104" customFormat="1">
      <c r="D1355" s="148"/>
      <c r="E1355" s="100"/>
      <c r="F1355" s="100"/>
      <c r="G1355" s="100"/>
      <c r="H1355" s="148"/>
      <c r="I1355" s="100"/>
      <c r="J1355" s="100"/>
      <c r="K1355" s="100"/>
      <c r="L1355" s="100"/>
      <c r="M1355" s="100"/>
    </row>
    <row r="1356" spans="4:13" s="104" customFormat="1">
      <c r="D1356" s="148"/>
      <c r="E1356" s="100"/>
      <c r="F1356" s="100"/>
      <c r="G1356" s="100"/>
      <c r="H1356" s="148"/>
      <c r="I1356" s="100"/>
      <c r="J1356" s="100"/>
      <c r="K1356" s="100"/>
      <c r="L1356" s="100"/>
      <c r="M1356" s="100"/>
    </row>
    <row r="1357" spans="4:13" s="104" customFormat="1">
      <c r="D1357" s="148"/>
      <c r="E1357" s="100"/>
      <c r="F1357" s="100"/>
      <c r="G1357" s="100"/>
      <c r="H1357" s="148"/>
      <c r="I1357" s="100"/>
      <c r="J1357" s="100"/>
      <c r="K1357" s="100"/>
      <c r="L1357" s="100"/>
      <c r="M1357" s="100"/>
    </row>
    <row r="1358" spans="4:13" s="104" customFormat="1">
      <c r="D1358" s="148"/>
      <c r="E1358" s="100"/>
      <c r="F1358" s="100"/>
      <c r="G1358" s="100"/>
      <c r="H1358" s="148"/>
      <c r="I1358" s="100"/>
      <c r="J1358" s="100"/>
      <c r="K1358" s="100"/>
      <c r="L1358" s="100"/>
      <c r="M1358" s="100"/>
    </row>
    <row r="1359" spans="4:13" s="104" customFormat="1">
      <c r="D1359" s="148"/>
      <c r="E1359" s="100"/>
      <c r="F1359" s="100"/>
      <c r="G1359" s="100"/>
      <c r="H1359" s="148"/>
      <c r="I1359" s="100"/>
      <c r="J1359" s="100"/>
      <c r="K1359" s="100"/>
      <c r="L1359" s="100"/>
      <c r="M1359" s="100"/>
    </row>
    <row r="1360" spans="4:13" s="104" customFormat="1">
      <c r="D1360" s="148"/>
      <c r="E1360" s="100"/>
      <c r="F1360" s="100"/>
      <c r="G1360" s="100"/>
      <c r="H1360" s="148"/>
      <c r="I1360" s="100"/>
      <c r="J1360" s="100"/>
      <c r="K1360" s="100"/>
      <c r="L1360" s="100"/>
      <c r="M1360" s="100"/>
    </row>
    <row r="1361" spans="4:13" s="104" customFormat="1">
      <c r="D1361" s="148"/>
      <c r="E1361" s="100"/>
      <c r="F1361" s="100"/>
      <c r="G1361" s="100"/>
      <c r="H1361" s="148"/>
      <c r="I1361" s="100"/>
      <c r="J1361" s="100"/>
      <c r="K1361" s="100"/>
      <c r="L1361" s="100"/>
      <c r="M1361" s="100"/>
    </row>
    <row r="1362" spans="4:13" s="104" customFormat="1">
      <c r="D1362" s="148"/>
      <c r="E1362" s="100"/>
      <c r="F1362" s="100"/>
      <c r="G1362" s="100"/>
      <c r="H1362" s="148"/>
      <c r="I1362" s="100"/>
      <c r="J1362" s="100"/>
      <c r="K1362" s="100"/>
      <c r="L1362" s="100"/>
      <c r="M1362" s="100"/>
    </row>
    <row r="1363" spans="4:13" s="104" customFormat="1">
      <c r="D1363" s="148"/>
      <c r="E1363" s="100"/>
      <c r="F1363" s="100"/>
      <c r="G1363" s="100"/>
      <c r="H1363" s="148"/>
      <c r="I1363" s="100"/>
      <c r="J1363" s="100"/>
      <c r="K1363" s="100"/>
      <c r="L1363" s="100"/>
      <c r="M1363" s="100"/>
    </row>
    <row r="1364" spans="4:13" s="104" customFormat="1">
      <c r="D1364" s="148"/>
      <c r="E1364" s="100"/>
      <c r="F1364" s="100"/>
      <c r="G1364" s="100"/>
      <c r="H1364" s="148"/>
      <c r="I1364" s="100"/>
      <c r="J1364" s="100"/>
      <c r="K1364" s="100"/>
      <c r="L1364" s="100"/>
      <c r="M1364" s="100"/>
    </row>
    <row r="1365" spans="4:13" s="104" customFormat="1">
      <c r="D1365" s="148"/>
      <c r="E1365" s="100"/>
      <c r="F1365" s="100"/>
      <c r="G1365" s="100"/>
      <c r="H1365" s="148"/>
      <c r="I1365" s="100"/>
      <c r="J1365" s="100"/>
      <c r="K1365" s="100"/>
      <c r="L1365" s="100"/>
      <c r="M1365" s="100"/>
    </row>
    <row r="1366" spans="4:13" s="104" customFormat="1">
      <c r="D1366" s="148"/>
      <c r="E1366" s="100"/>
      <c r="F1366" s="100"/>
      <c r="G1366" s="100"/>
      <c r="H1366" s="148"/>
      <c r="I1366" s="100"/>
      <c r="J1366" s="100"/>
      <c r="K1366" s="100"/>
      <c r="L1366" s="100"/>
      <c r="M1366" s="100"/>
    </row>
    <row r="1367" spans="4:13" s="104" customFormat="1">
      <c r="D1367" s="148"/>
      <c r="E1367" s="100"/>
      <c r="F1367" s="100"/>
      <c r="G1367" s="100"/>
      <c r="H1367" s="148"/>
      <c r="I1367" s="100"/>
      <c r="J1367" s="100"/>
      <c r="K1367" s="100"/>
      <c r="L1367" s="100"/>
      <c r="M1367" s="100"/>
    </row>
    <row r="1368" spans="4:13" s="104" customFormat="1">
      <c r="D1368" s="148"/>
      <c r="E1368" s="100"/>
      <c r="F1368" s="100"/>
      <c r="G1368" s="100"/>
      <c r="H1368" s="148"/>
      <c r="I1368" s="100"/>
      <c r="J1368" s="100"/>
      <c r="K1368" s="100"/>
      <c r="L1368" s="100"/>
      <c r="M1368" s="100"/>
    </row>
    <row r="1369" spans="4:13" s="104" customFormat="1">
      <c r="D1369" s="148"/>
      <c r="E1369" s="100"/>
      <c r="F1369" s="100"/>
      <c r="G1369" s="100"/>
      <c r="H1369" s="148"/>
      <c r="I1369" s="100"/>
      <c r="J1369" s="100"/>
      <c r="K1369" s="100"/>
      <c r="L1369" s="100"/>
      <c r="M1369" s="100"/>
    </row>
    <row r="1370" spans="4:13" s="104" customFormat="1">
      <c r="D1370" s="148"/>
      <c r="E1370" s="100"/>
      <c r="F1370" s="100"/>
      <c r="G1370" s="100"/>
      <c r="H1370" s="148"/>
      <c r="I1370" s="100"/>
      <c r="J1370" s="100"/>
      <c r="K1370" s="100"/>
      <c r="L1370" s="100"/>
      <c r="M1370" s="100"/>
    </row>
    <row r="1371" spans="4:13" s="104" customFormat="1">
      <c r="D1371" s="148"/>
      <c r="E1371" s="100"/>
      <c r="F1371" s="100"/>
      <c r="G1371" s="100"/>
      <c r="H1371" s="148"/>
      <c r="I1371" s="100"/>
      <c r="J1371" s="100"/>
      <c r="K1371" s="100"/>
      <c r="L1371" s="100"/>
      <c r="M1371" s="100"/>
    </row>
    <row r="1372" spans="4:13" s="104" customFormat="1">
      <c r="D1372" s="148"/>
      <c r="E1372" s="100"/>
      <c r="F1372" s="100"/>
      <c r="G1372" s="100"/>
      <c r="H1372" s="148"/>
      <c r="I1372" s="100"/>
      <c r="J1372" s="100"/>
      <c r="K1372" s="100"/>
      <c r="L1372" s="100"/>
      <c r="M1372" s="100"/>
    </row>
    <row r="1373" spans="4:13" s="104" customFormat="1">
      <c r="D1373" s="148"/>
      <c r="E1373" s="100"/>
      <c r="F1373" s="100"/>
      <c r="G1373" s="100"/>
      <c r="H1373" s="148"/>
      <c r="I1373" s="100"/>
      <c r="J1373" s="100"/>
      <c r="K1373" s="100"/>
      <c r="L1373" s="100"/>
      <c r="M1373" s="100"/>
    </row>
    <row r="1374" spans="4:13" s="104" customFormat="1">
      <c r="D1374" s="148"/>
      <c r="E1374" s="100"/>
      <c r="F1374" s="100"/>
      <c r="G1374" s="100"/>
      <c r="H1374" s="148"/>
      <c r="I1374" s="100"/>
      <c r="J1374" s="100"/>
      <c r="K1374" s="100"/>
      <c r="L1374" s="100"/>
      <c r="M1374" s="100"/>
    </row>
    <row r="1375" spans="4:13" s="104" customFormat="1">
      <c r="D1375" s="148"/>
      <c r="E1375" s="100"/>
      <c r="F1375" s="100"/>
      <c r="G1375" s="100"/>
      <c r="H1375" s="148"/>
      <c r="I1375" s="100"/>
      <c r="J1375" s="100"/>
      <c r="K1375" s="100"/>
      <c r="L1375" s="100"/>
      <c r="M1375" s="100"/>
    </row>
    <row r="1376" spans="4:13" s="104" customFormat="1">
      <c r="D1376" s="148"/>
      <c r="E1376" s="100"/>
      <c r="F1376" s="100"/>
      <c r="G1376" s="100"/>
      <c r="H1376" s="148"/>
      <c r="I1376" s="100"/>
      <c r="J1376" s="100"/>
      <c r="K1376" s="100"/>
      <c r="L1376" s="100"/>
      <c r="M1376" s="100"/>
    </row>
    <row r="1377" spans="4:13" s="104" customFormat="1">
      <c r="D1377" s="148"/>
      <c r="E1377" s="100"/>
      <c r="F1377" s="100"/>
      <c r="G1377" s="100"/>
      <c r="H1377" s="148"/>
      <c r="I1377" s="100"/>
      <c r="J1377" s="100"/>
      <c r="K1377" s="100"/>
      <c r="L1377" s="100"/>
      <c r="M1377" s="100"/>
    </row>
    <row r="1378" spans="4:13" s="104" customFormat="1">
      <c r="D1378" s="148"/>
      <c r="E1378" s="100"/>
      <c r="F1378" s="100"/>
      <c r="G1378" s="100"/>
      <c r="H1378" s="148"/>
      <c r="I1378" s="100"/>
      <c r="J1378" s="100"/>
      <c r="K1378" s="100"/>
      <c r="L1378" s="100"/>
      <c r="M1378" s="100"/>
    </row>
    <row r="1379" spans="4:13" s="104" customFormat="1">
      <c r="D1379" s="148"/>
      <c r="E1379" s="100"/>
      <c r="F1379" s="100"/>
      <c r="G1379" s="100"/>
      <c r="H1379" s="148"/>
      <c r="I1379" s="100"/>
      <c r="J1379" s="100"/>
      <c r="K1379" s="100"/>
      <c r="L1379" s="100"/>
      <c r="M1379" s="100"/>
    </row>
    <row r="1380" spans="4:13" s="104" customFormat="1">
      <c r="D1380" s="148"/>
      <c r="E1380" s="100"/>
      <c r="F1380" s="100"/>
      <c r="G1380" s="100"/>
      <c r="H1380" s="148"/>
      <c r="I1380" s="100"/>
      <c r="J1380" s="100"/>
      <c r="K1380" s="100"/>
      <c r="L1380" s="100"/>
      <c r="M1380" s="100"/>
    </row>
    <row r="1381" spans="4:13" s="104" customFormat="1">
      <c r="D1381" s="148"/>
      <c r="E1381" s="100"/>
      <c r="F1381" s="100"/>
      <c r="G1381" s="100"/>
      <c r="H1381" s="148"/>
      <c r="I1381" s="100"/>
      <c r="J1381" s="100"/>
      <c r="K1381" s="100"/>
      <c r="L1381" s="100"/>
      <c r="M1381" s="100"/>
    </row>
    <row r="1382" spans="4:13" s="104" customFormat="1">
      <c r="D1382" s="148"/>
      <c r="E1382" s="100"/>
      <c r="F1382" s="100"/>
      <c r="G1382" s="100"/>
      <c r="H1382" s="148"/>
      <c r="I1382" s="100"/>
      <c r="J1382" s="100"/>
      <c r="K1382" s="100"/>
      <c r="L1382" s="100"/>
      <c r="M1382" s="100"/>
    </row>
    <row r="1383" spans="4:13" s="104" customFormat="1">
      <c r="D1383" s="148"/>
      <c r="E1383" s="100"/>
      <c r="F1383" s="100"/>
      <c r="G1383" s="100"/>
      <c r="H1383" s="148"/>
      <c r="I1383" s="100"/>
      <c r="J1383" s="100"/>
      <c r="K1383" s="100"/>
      <c r="L1383" s="100"/>
      <c r="M1383" s="100"/>
    </row>
    <row r="1384" spans="4:13" s="104" customFormat="1">
      <c r="D1384" s="148"/>
      <c r="E1384" s="100"/>
      <c r="F1384" s="100"/>
      <c r="G1384" s="100"/>
      <c r="H1384" s="148"/>
      <c r="I1384" s="100"/>
      <c r="J1384" s="100"/>
      <c r="K1384" s="100"/>
      <c r="L1384" s="100"/>
      <c r="M1384" s="100"/>
    </row>
    <row r="1385" spans="4:13" s="104" customFormat="1">
      <c r="D1385" s="148"/>
      <c r="E1385" s="100"/>
      <c r="F1385" s="100"/>
      <c r="G1385" s="100"/>
      <c r="H1385" s="148"/>
      <c r="I1385" s="100"/>
      <c r="J1385" s="100"/>
      <c r="K1385" s="100"/>
      <c r="L1385" s="100"/>
      <c r="M1385" s="100"/>
    </row>
    <row r="1386" spans="4:13" s="104" customFormat="1">
      <c r="D1386" s="148"/>
      <c r="E1386" s="100"/>
      <c r="F1386" s="100"/>
      <c r="G1386" s="100"/>
      <c r="H1386" s="148"/>
      <c r="I1386" s="100"/>
      <c r="J1386" s="100"/>
      <c r="K1386" s="100"/>
      <c r="L1386" s="100"/>
      <c r="M1386" s="100"/>
    </row>
    <row r="1387" spans="4:13" s="104" customFormat="1">
      <c r="D1387" s="148"/>
      <c r="E1387" s="100"/>
      <c r="F1387" s="100"/>
      <c r="G1387" s="100"/>
      <c r="H1387" s="148"/>
      <c r="I1387" s="100"/>
      <c r="J1387" s="100"/>
      <c r="K1387" s="100"/>
      <c r="L1387" s="100"/>
      <c r="M1387" s="100"/>
    </row>
    <row r="1388" spans="4:13" s="104" customFormat="1">
      <c r="D1388" s="148"/>
      <c r="E1388" s="100"/>
      <c r="F1388" s="100"/>
      <c r="G1388" s="100"/>
      <c r="H1388" s="148"/>
      <c r="I1388" s="100"/>
      <c r="J1388" s="100"/>
      <c r="K1388" s="100"/>
      <c r="L1388" s="100"/>
      <c r="M1388" s="100"/>
    </row>
    <row r="1389" spans="4:13" s="104" customFormat="1">
      <c r="D1389" s="148"/>
      <c r="E1389" s="100"/>
      <c r="F1389" s="100"/>
      <c r="G1389" s="100"/>
      <c r="H1389" s="148"/>
      <c r="I1389" s="100"/>
      <c r="J1389" s="100"/>
      <c r="K1389" s="100"/>
      <c r="L1389" s="100"/>
      <c r="M1389" s="100"/>
    </row>
    <row r="1390" spans="4:13" s="104" customFormat="1">
      <c r="D1390" s="148"/>
      <c r="E1390" s="100"/>
      <c r="F1390" s="100"/>
      <c r="G1390" s="100"/>
      <c r="H1390" s="148"/>
      <c r="I1390" s="100"/>
      <c r="J1390" s="100"/>
      <c r="K1390" s="100"/>
      <c r="L1390" s="100"/>
      <c r="M1390" s="100"/>
    </row>
    <row r="1391" spans="4:13" s="104" customFormat="1">
      <c r="D1391" s="148"/>
      <c r="E1391" s="100"/>
      <c r="F1391" s="100"/>
      <c r="G1391" s="100"/>
      <c r="H1391" s="148"/>
      <c r="I1391" s="100"/>
      <c r="J1391" s="100"/>
      <c r="K1391" s="100"/>
      <c r="L1391" s="100"/>
      <c r="M1391" s="100"/>
    </row>
    <row r="1392" spans="4:13" s="104" customFormat="1">
      <c r="D1392" s="148"/>
      <c r="E1392" s="100"/>
      <c r="F1392" s="100"/>
      <c r="G1392" s="100"/>
      <c r="H1392" s="148"/>
      <c r="I1392" s="100"/>
      <c r="J1392" s="100"/>
      <c r="K1392" s="100"/>
      <c r="L1392" s="100"/>
      <c r="M1392" s="100"/>
    </row>
    <row r="1393" spans="4:13" s="104" customFormat="1">
      <c r="D1393" s="148"/>
      <c r="E1393" s="100"/>
      <c r="F1393" s="100"/>
      <c r="G1393" s="100"/>
      <c r="H1393" s="148"/>
      <c r="I1393" s="100"/>
      <c r="J1393" s="100"/>
      <c r="K1393" s="100"/>
      <c r="L1393" s="100"/>
      <c r="M1393" s="100"/>
    </row>
    <row r="1394" spans="4:13" s="104" customFormat="1">
      <c r="D1394" s="148"/>
      <c r="E1394" s="100"/>
      <c r="F1394" s="100"/>
      <c r="G1394" s="100"/>
      <c r="H1394" s="148"/>
      <c r="I1394" s="100"/>
      <c r="J1394" s="100"/>
      <c r="K1394" s="100"/>
      <c r="L1394" s="100"/>
      <c r="M1394" s="100"/>
    </row>
    <row r="1395" spans="4:13" s="104" customFormat="1">
      <c r="D1395" s="148"/>
      <c r="E1395" s="100"/>
      <c r="F1395" s="100"/>
      <c r="G1395" s="100"/>
      <c r="H1395" s="148"/>
      <c r="I1395" s="100"/>
      <c r="J1395" s="100"/>
      <c r="K1395" s="100"/>
      <c r="L1395" s="100"/>
      <c r="M1395" s="100"/>
    </row>
    <row r="1396" spans="4:13" s="104" customFormat="1">
      <c r="D1396" s="148"/>
      <c r="E1396" s="100"/>
      <c r="F1396" s="100"/>
      <c r="G1396" s="100"/>
      <c r="H1396" s="148"/>
      <c r="I1396" s="100"/>
      <c r="J1396" s="100"/>
      <c r="K1396" s="100"/>
      <c r="L1396" s="100"/>
      <c r="M1396" s="100"/>
    </row>
    <row r="1397" spans="4:13" s="104" customFormat="1">
      <c r="D1397" s="148"/>
      <c r="E1397" s="100"/>
      <c r="F1397" s="100"/>
      <c r="G1397" s="100"/>
      <c r="H1397" s="148"/>
      <c r="I1397" s="100"/>
      <c r="J1397" s="100"/>
      <c r="K1397" s="100"/>
      <c r="L1397" s="100"/>
      <c r="M1397" s="100"/>
    </row>
    <row r="1398" spans="4:13" s="104" customFormat="1">
      <c r="D1398" s="148"/>
      <c r="E1398" s="100"/>
      <c r="F1398" s="100"/>
      <c r="G1398" s="100"/>
      <c r="H1398" s="148"/>
      <c r="I1398" s="100"/>
      <c r="J1398" s="100"/>
      <c r="K1398" s="100"/>
      <c r="L1398" s="100"/>
      <c r="M1398" s="100"/>
    </row>
    <row r="1399" spans="4:13" s="104" customFormat="1">
      <c r="D1399" s="148"/>
      <c r="E1399" s="100"/>
      <c r="F1399" s="100"/>
      <c r="G1399" s="100"/>
      <c r="H1399" s="148"/>
      <c r="I1399" s="100"/>
      <c r="J1399" s="100"/>
      <c r="K1399" s="100"/>
      <c r="L1399" s="100"/>
      <c r="M1399" s="100"/>
    </row>
    <row r="1400" spans="4:13" s="104" customFormat="1">
      <c r="D1400" s="148"/>
      <c r="E1400" s="100"/>
      <c r="F1400" s="100"/>
      <c r="G1400" s="100"/>
      <c r="H1400" s="148"/>
      <c r="I1400" s="100"/>
      <c r="J1400" s="100"/>
      <c r="K1400" s="100"/>
      <c r="L1400" s="100"/>
      <c r="M1400" s="100"/>
    </row>
    <row r="1401" spans="4:13" s="104" customFormat="1">
      <c r="D1401" s="148"/>
      <c r="E1401" s="100"/>
      <c r="F1401" s="100"/>
      <c r="G1401" s="100"/>
      <c r="H1401" s="148"/>
      <c r="I1401" s="100"/>
      <c r="J1401" s="100"/>
      <c r="K1401" s="100"/>
      <c r="L1401" s="100"/>
      <c r="M1401" s="100"/>
    </row>
    <row r="1402" spans="4:13" s="104" customFormat="1">
      <c r="D1402" s="148"/>
      <c r="E1402" s="100"/>
      <c r="F1402" s="100"/>
      <c r="G1402" s="100"/>
      <c r="H1402" s="148"/>
      <c r="I1402" s="100"/>
      <c r="J1402" s="100"/>
      <c r="K1402" s="100"/>
      <c r="L1402" s="100"/>
      <c r="M1402" s="100"/>
    </row>
    <row r="1403" spans="4:13" s="104" customFormat="1">
      <c r="D1403" s="148"/>
      <c r="E1403" s="100"/>
      <c r="F1403" s="100"/>
      <c r="G1403" s="100"/>
      <c r="H1403" s="148"/>
      <c r="I1403" s="100"/>
      <c r="J1403" s="100"/>
      <c r="K1403" s="100"/>
      <c r="L1403" s="100"/>
      <c r="M1403" s="100"/>
    </row>
    <row r="1404" spans="4:13" s="104" customFormat="1">
      <c r="D1404" s="148"/>
      <c r="E1404" s="100"/>
      <c r="F1404" s="100"/>
      <c r="G1404" s="100"/>
      <c r="H1404" s="148"/>
      <c r="I1404" s="100"/>
      <c r="J1404" s="100"/>
      <c r="K1404" s="100"/>
      <c r="L1404" s="100"/>
      <c r="M1404" s="100"/>
    </row>
    <row r="1405" spans="4:13" s="104" customFormat="1">
      <c r="D1405" s="148"/>
      <c r="E1405" s="100"/>
      <c r="F1405" s="100"/>
      <c r="G1405" s="100"/>
      <c r="H1405" s="148"/>
      <c r="I1405" s="100"/>
      <c r="J1405" s="100"/>
      <c r="K1405" s="100"/>
      <c r="L1405" s="100"/>
      <c r="M1405" s="100"/>
    </row>
    <row r="1406" spans="4:13" s="104" customFormat="1">
      <c r="D1406" s="148"/>
      <c r="E1406" s="100"/>
      <c r="F1406" s="100"/>
      <c r="G1406" s="100"/>
      <c r="H1406" s="148"/>
      <c r="I1406" s="100"/>
      <c r="J1406" s="100"/>
      <c r="K1406" s="100"/>
      <c r="L1406" s="100"/>
      <c r="M1406" s="100"/>
    </row>
    <row r="1407" spans="4:13" s="104" customFormat="1">
      <c r="D1407" s="148"/>
      <c r="E1407" s="100"/>
      <c r="F1407" s="100"/>
      <c r="G1407" s="100"/>
      <c r="H1407" s="148"/>
      <c r="I1407" s="100"/>
      <c r="J1407" s="100"/>
      <c r="K1407" s="100"/>
      <c r="L1407" s="100"/>
      <c r="M1407" s="100"/>
    </row>
    <row r="1408" spans="4:13" s="104" customFormat="1">
      <c r="D1408" s="148"/>
      <c r="E1408" s="100"/>
      <c r="F1408" s="100"/>
      <c r="G1408" s="100"/>
      <c r="H1408" s="148"/>
      <c r="I1408" s="100"/>
      <c r="J1408" s="100"/>
      <c r="K1408" s="100"/>
      <c r="L1408" s="100"/>
      <c r="M1408" s="100"/>
    </row>
    <row r="1409" spans="4:13" s="104" customFormat="1">
      <c r="D1409" s="148"/>
      <c r="E1409" s="100"/>
      <c r="F1409" s="100"/>
      <c r="G1409" s="100"/>
      <c r="H1409" s="148"/>
      <c r="I1409" s="100"/>
      <c r="J1409" s="100"/>
      <c r="K1409" s="100"/>
      <c r="L1409" s="100"/>
      <c r="M1409" s="100"/>
    </row>
    <row r="1410" spans="4:13" s="104" customFormat="1">
      <c r="D1410" s="148"/>
      <c r="E1410" s="100"/>
      <c r="F1410" s="100"/>
      <c r="G1410" s="100"/>
      <c r="H1410" s="148"/>
      <c r="I1410" s="100"/>
      <c r="J1410" s="100"/>
      <c r="K1410" s="100"/>
      <c r="L1410" s="100"/>
      <c r="M1410" s="100"/>
    </row>
    <row r="1411" spans="4:13" s="104" customFormat="1">
      <c r="D1411" s="148"/>
      <c r="E1411" s="100"/>
      <c r="F1411" s="100"/>
      <c r="G1411" s="100"/>
      <c r="H1411" s="148"/>
      <c r="I1411" s="100"/>
      <c r="J1411" s="100"/>
      <c r="K1411" s="100"/>
      <c r="L1411" s="100"/>
      <c r="M1411" s="100"/>
    </row>
    <row r="1412" spans="4:13" s="104" customFormat="1">
      <c r="D1412" s="148"/>
      <c r="E1412" s="100"/>
      <c r="F1412" s="100"/>
      <c r="G1412" s="100"/>
      <c r="H1412" s="148"/>
      <c r="I1412" s="100"/>
      <c r="J1412" s="100"/>
      <c r="K1412" s="100"/>
      <c r="L1412" s="100"/>
      <c r="M1412" s="100"/>
    </row>
    <row r="1413" spans="4:13" s="104" customFormat="1">
      <c r="D1413" s="148"/>
      <c r="E1413" s="100"/>
      <c r="F1413" s="100"/>
      <c r="G1413" s="100"/>
      <c r="H1413" s="148"/>
      <c r="I1413" s="100"/>
      <c r="J1413" s="100"/>
      <c r="K1413" s="100"/>
      <c r="L1413" s="100"/>
      <c r="M1413" s="100"/>
    </row>
    <row r="1414" spans="4:13" s="104" customFormat="1">
      <c r="D1414" s="148"/>
      <c r="E1414" s="100"/>
      <c r="F1414" s="100"/>
      <c r="G1414" s="100"/>
      <c r="H1414" s="148"/>
      <c r="I1414" s="100"/>
      <c r="J1414" s="100"/>
      <c r="K1414" s="100"/>
      <c r="L1414" s="100"/>
      <c r="M1414" s="100"/>
    </row>
    <row r="1415" spans="4:13" s="104" customFormat="1">
      <c r="D1415" s="148"/>
      <c r="E1415" s="100"/>
      <c r="F1415" s="100"/>
      <c r="G1415" s="100"/>
      <c r="H1415" s="148"/>
      <c r="I1415" s="100"/>
      <c r="J1415" s="100"/>
      <c r="K1415" s="100"/>
      <c r="L1415" s="100"/>
      <c r="M1415" s="100"/>
    </row>
    <row r="1416" spans="4:13" s="104" customFormat="1">
      <c r="D1416" s="148"/>
      <c r="E1416" s="100"/>
      <c r="F1416" s="100"/>
      <c r="G1416" s="100"/>
      <c r="H1416" s="148"/>
      <c r="I1416" s="100"/>
      <c r="J1416" s="100"/>
      <c r="K1416" s="100"/>
      <c r="L1416" s="100"/>
      <c r="M1416" s="100"/>
    </row>
    <row r="1417" spans="4:13" s="104" customFormat="1">
      <c r="D1417" s="148"/>
      <c r="E1417" s="100"/>
      <c r="F1417" s="100"/>
      <c r="G1417" s="100"/>
      <c r="H1417" s="148"/>
      <c r="I1417" s="100"/>
      <c r="J1417" s="100"/>
      <c r="K1417" s="100"/>
      <c r="L1417" s="100"/>
      <c r="M1417" s="100"/>
    </row>
    <row r="1418" spans="4:13" s="104" customFormat="1">
      <c r="D1418" s="148"/>
      <c r="E1418" s="100"/>
      <c r="F1418" s="100"/>
      <c r="G1418" s="100"/>
      <c r="H1418" s="148"/>
      <c r="I1418" s="100"/>
      <c r="J1418" s="100"/>
      <c r="K1418" s="100"/>
      <c r="L1418" s="100"/>
      <c r="M1418" s="100"/>
    </row>
    <row r="1419" spans="4:13" s="104" customFormat="1">
      <c r="D1419" s="148"/>
      <c r="E1419" s="100"/>
      <c r="F1419" s="100"/>
      <c r="G1419" s="100"/>
      <c r="H1419" s="148"/>
      <c r="I1419" s="100"/>
      <c r="J1419" s="100"/>
      <c r="K1419" s="100"/>
      <c r="L1419" s="100"/>
      <c r="M1419" s="100"/>
    </row>
    <row r="1420" spans="4:13" s="104" customFormat="1">
      <c r="D1420" s="148"/>
      <c r="E1420" s="100"/>
      <c r="F1420" s="100"/>
      <c r="G1420" s="100"/>
      <c r="H1420" s="148"/>
      <c r="I1420" s="100"/>
      <c r="J1420" s="100"/>
      <c r="K1420" s="100"/>
      <c r="L1420" s="100"/>
      <c r="M1420" s="100"/>
    </row>
    <row r="1421" spans="4:13" s="104" customFormat="1">
      <c r="D1421" s="148"/>
      <c r="E1421" s="100"/>
      <c r="F1421" s="100"/>
      <c r="G1421" s="100"/>
      <c r="H1421" s="148"/>
      <c r="I1421" s="100"/>
      <c r="J1421" s="100"/>
      <c r="K1421" s="100"/>
      <c r="L1421" s="100"/>
      <c r="M1421" s="100"/>
    </row>
    <row r="1422" spans="4:13" s="104" customFormat="1">
      <c r="D1422" s="148"/>
      <c r="E1422" s="100"/>
      <c r="F1422" s="100"/>
      <c r="G1422" s="100"/>
      <c r="H1422" s="148"/>
      <c r="I1422" s="100"/>
      <c r="J1422" s="100"/>
      <c r="K1422" s="100"/>
      <c r="L1422" s="100"/>
      <c r="M1422" s="100"/>
    </row>
    <row r="1423" spans="4:13" s="104" customFormat="1">
      <c r="D1423" s="148"/>
      <c r="E1423" s="100"/>
      <c r="F1423" s="100"/>
      <c r="G1423" s="100"/>
      <c r="H1423" s="148"/>
      <c r="I1423" s="100"/>
      <c r="J1423" s="100"/>
      <c r="K1423" s="100"/>
      <c r="L1423" s="100"/>
      <c r="M1423" s="100"/>
    </row>
    <row r="1424" spans="4:13" s="104" customFormat="1">
      <c r="D1424" s="148"/>
      <c r="E1424" s="100"/>
      <c r="F1424" s="100"/>
      <c r="G1424" s="100"/>
      <c r="H1424" s="148"/>
      <c r="I1424" s="100"/>
      <c r="J1424" s="100"/>
      <c r="K1424" s="100"/>
      <c r="L1424" s="100"/>
      <c r="M1424" s="100"/>
    </row>
    <row r="1425" spans="4:13" s="104" customFormat="1">
      <c r="D1425" s="148"/>
      <c r="E1425" s="100"/>
      <c r="F1425" s="100"/>
      <c r="G1425" s="100"/>
      <c r="H1425" s="148"/>
      <c r="I1425" s="100"/>
      <c r="J1425" s="100"/>
      <c r="K1425" s="100"/>
      <c r="L1425" s="100"/>
      <c r="M1425" s="100"/>
    </row>
    <row r="1426" spans="4:13" s="104" customFormat="1">
      <c r="D1426" s="148"/>
      <c r="E1426" s="100"/>
      <c r="F1426" s="100"/>
      <c r="G1426" s="100"/>
      <c r="H1426" s="148"/>
      <c r="I1426" s="100"/>
      <c r="J1426" s="100"/>
      <c r="K1426" s="100"/>
      <c r="L1426" s="100"/>
      <c r="M1426" s="100"/>
    </row>
    <row r="1427" spans="4:13" s="104" customFormat="1">
      <c r="D1427" s="148"/>
      <c r="E1427" s="100"/>
      <c r="F1427" s="100"/>
      <c r="G1427" s="100"/>
      <c r="H1427" s="148"/>
      <c r="I1427" s="100"/>
      <c r="J1427" s="100"/>
      <c r="K1427" s="100"/>
      <c r="L1427" s="100"/>
      <c r="M1427" s="100"/>
    </row>
    <row r="1428" spans="4:13" s="104" customFormat="1">
      <c r="D1428" s="148"/>
      <c r="E1428" s="100"/>
      <c r="F1428" s="100"/>
      <c r="G1428" s="100"/>
      <c r="H1428" s="148"/>
      <c r="I1428" s="100"/>
      <c r="J1428" s="100"/>
      <c r="K1428" s="100"/>
      <c r="L1428" s="100"/>
      <c r="M1428" s="100"/>
    </row>
    <row r="1429" spans="4:13" s="104" customFormat="1">
      <c r="D1429" s="148"/>
      <c r="E1429" s="100"/>
      <c r="F1429" s="100"/>
      <c r="G1429" s="100"/>
      <c r="H1429" s="148"/>
      <c r="I1429" s="100"/>
      <c r="J1429" s="100"/>
      <c r="K1429" s="100"/>
      <c r="L1429" s="100"/>
      <c r="M1429" s="100"/>
    </row>
    <row r="1430" spans="4:13" s="104" customFormat="1">
      <c r="D1430" s="148"/>
      <c r="E1430" s="100"/>
      <c r="F1430" s="100"/>
      <c r="G1430" s="100"/>
      <c r="H1430" s="148"/>
      <c r="I1430" s="100"/>
      <c r="J1430" s="100"/>
      <c r="K1430" s="100"/>
      <c r="L1430" s="100"/>
      <c r="M1430" s="100"/>
    </row>
    <row r="1431" spans="4:13" s="104" customFormat="1">
      <c r="D1431" s="148"/>
      <c r="E1431" s="100"/>
      <c r="F1431" s="100"/>
      <c r="G1431" s="100"/>
      <c r="H1431" s="148"/>
      <c r="I1431" s="100"/>
      <c r="J1431" s="100"/>
      <c r="K1431" s="100"/>
      <c r="L1431" s="100"/>
      <c r="M1431" s="100"/>
    </row>
    <row r="1432" spans="4:13" s="104" customFormat="1">
      <c r="D1432" s="148"/>
      <c r="E1432" s="100"/>
      <c r="F1432" s="100"/>
      <c r="G1432" s="100"/>
      <c r="H1432" s="148"/>
      <c r="I1432" s="100"/>
      <c r="J1432" s="100"/>
      <c r="K1432" s="100"/>
      <c r="L1432" s="100"/>
      <c r="M1432" s="100"/>
    </row>
    <row r="1433" spans="4:13" s="104" customFormat="1">
      <c r="D1433" s="148"/>
      <c r="E1433" s="100"/>
      <c r="F1433" s="100"/>
      <c r="G1433" s="100"/>
      <c r="H1433" s="148"/>
      <c r="I1433" s="100"/>
      <c r="J1433" s="100"/>
      <c r="K1433" s="100"/>
      <c r="L1433" s="100"/>
      <c r="M1433" s="100"/>
    </row>
    <row r="1434" spans="4:13" s="104" customFormat="1">
      <c r="D1434" s="148"/>
      <c r="E1434" s="100"/>
      <c r="F1434" s="100"/>
      <c r="G1434" s="100"/>
      <c r="H1434" s="148"/>
      <c r="I1434" s="100"/>
      <c r="J1434" s="100"/>
      <c r="K1434" s="100"/>
      <c r="L1434" s="100"/>
      <c r="M1434" s="100"/>
    </row>
    <row r="1435" spans="4:13" s="104" customFormat="1">
      <c r="D1435" s="148"/>
      <c r="E1435" s="100"/>
      <c r="F1435" s="100"/>
      <c r="G1435" s="100"/>
      <c r="H1435" s="148"/>
      <c r="I1435" s="100"/>
      <c r="J1435" s="100"/>
      <c r="K1435" s="100"/>
      <c r="L1435" s="100"/>
      <c r="M1435" s="100"/>
    </row>
    <row r="1436" spans="4:13" s="104" customFormat="1">
      <c r="D1436" s="148"/>
      <c r="E1436" s="100"/>
      <c r="F1436" s="100"/>
      <c r="G1436" s="100"/>
      <c r="H1436" s="148"/>
      <c r="I1436" s="100"/>
      <c r="J1436" s="100"/>
      <c r="K1436" s="100"/>
      <c r="L1436" s="100"/>
      <c r="M1436" s="100"/>
    </row>
    <row r="1437" spans="4:13" s="104" customFormat="1">
      <c r="D1437" s="148"/>
      <c r="E1437" s="100"/>
      <c r="F1437" s="100"/>
      <c r="G1437" s="100"/>
      <c r="H1437" s="148"/>
      <c r="I1437" s="100"/>
      <c r="J1437" s="100"/>
      <c r="K1437" s="100"/>
      <c r="L1437" s="100"/>
      <c r="M1437" s="100"/>
    </row>
    <row r="1438" spans="4:13" s="104" customFormat="1">
      <c r="D1438" s="148"/>
      <c r="E1438" s="100"/>
      <c r="F1438" s="100"/>
      <c r="G1438" s="100"/>
      <c r="H1438" s="148"/>
      <c r="I1438" s="100"/>
      <c r="J1438" s="100"/>
      <c r="K1438" s="100"/>
      <c r="L1438" s="100"/>
      <c r="M1438" s="100"/>
    </row>
    <row r="1439" spans="4:13" s="104" customFormat="1">
      <c r="D1439" s="148"/>
      <c r="E1439" s="100"/>
      <c r="F1439" s="100"/>
      <c r="G1439" s="100"/>
      <c r="H1439" s="148"/>
      <c r="I1439" s="100"/>
      <c r="J1439" s="100"/>
      <c r="K1439" s="100"/>
      <c r="L1439" s="100"/>
      <c r="M1439" s="100"/>
    </row>
    <row r="1440" spans="4:13" s="104" customFormat="1">
      <c r="D1440" s="148"/>
      <c r="E1440" s="100"/>
      <c r="F1440" s="100"/>
      <c r="G1440" s="100"/>
      <c r="H1440" s="148"/>
      <c r="I1440" s="100"/>
      <c r="J1440" s="100"/>
      <c r="K1440" s="100"/>
      <c r="L1440" s="100"/>
      <c r="M1440" s="100"/>
    </row>
    <row r="1441" spans="4:13" s="104" customFormat="1">
      <c r="D1441" s="148"/>
      <c r="E1441" s="100"/>
      <c r="F1441" s="100"/>
      <c r="G1441" s="100"/>
      <c r="H1441" s="148"/>
      <c r="I1441" s="100"/>
      <c r="J1441" s="100"/>
      <c r="K1441" s="100"/>
      <c r="L1441" s="100"/>
      <c r="M1441" s="100"/>
    </row>
    <row r="1442" spans="4:13" s="104" customFormat="1">
      <c r="D1442" s="148"/>
      <c r="E1442" s="100"/>
      <c r="F1442" s="100"/>
      <c r="G1442" s="100"/>
      <c r="H1442" s="148"/>
      <c r="I1442" s="100"/>
      <c r="J1442" s="100"/>
      <c r="K1442" s="100"/>
      <c r="L1442" s="100"/>
      <c r="M1442" s="100"/>
    </row>
    <row r="1443" spans="4:13" s="104" customFormat="1">
      <c r="D1443" s="148"/>
      <c r="E1443" s="100"/>
      <c r="F1443" s="100"/>
      <c r="G1443" s="100"/>
      <c r="H1443" s="148"/>
      <c r="I1443" s="100"/>
      <c r="J1443" s="100"/>
      <c r="K1443" s="100"/>
      <c r="L1443" s="100"/>
      <c r="M1443" s="100"/>
    </row>
    <row r="1444" spans="4:13" s="104" customFormat="1">
      <c r="D1444" s="148"/>
      <c r="E1444" s="100"/>
      <c r="F1444" s="100"/>
      <c r="G1444" s="100"/>
      <c r="H1444" s="148"/>
      <c r="I1444" s="100"/>
      <c r="J1444" s="100"/>
      <c r="K1444" s="100"/>
      <c r="L1444" s="100"/>
      <c r="M1444" s="100"/>
    </row>
    <row r="1445" spans="4:13" s="104" customFormat="1">
      <c r="D1445" s="148"/>
      <c r="E1445" s="100"/>
      <c r="F1445" s="100"/>
      <c r="G1445" s="100"/>
      <c r="H1445" s="148"/>
      <c r="I1445" s="100"/>
      <c r="J1445" s="100"/>
      <c r="K1445" s="100"/>
      <c r="L1445" s="100"/>
      <c r="M1445" s="100"/>
    </row>
    <row r="1446" spans="4:13" s="104" customFormat="1">
      <c r="D1446" s="148"/>
      <c r="E1446" s="100"/>
      <c r="F1446" s="100"/>
      <c r="G1446" s="100"/>
      <c r="H1446" s="148"/>
      <c r="I1446" s="100"/>
      <c r="J1446" s="100"/>
      <c r="K1446" s="100"/>
      <c r="L1446" s="100"/>
      <c r="M1446" s="100"/>
    </row>
    <row r="1447" spans="4:13" s="104" customFormat="1">
      <c r="D1447" s="148"/>
      <c r="E1447" s="100"/>
      <c r="F1447" s="100"/>
      <c r="G1447" s="100"/>
      <c r="H1447" s="148"/>
      <c r="I1447" s="100"/>
      <c r="J1447" s="100"/>
      <c r="K1447" s="100"/>
      <c r="L1447" s="100"/>
      <c r="M1447" s="100"/>
    </row>
    <row r="1448" spans="4:13" s="104" customFormat="1">
      <c r="D1448" s="148"/>
      <c r="E1448" s="100"/>
      <c r="F1448" s="100"/>
      <c r="G1448" s="100"/>
      <c r="H1448" s="148"/>
      <c r="I1448" s="100"/>
      <c r="J1448" s="100"/>
      <c r="K1448" s="100"/>
      <c r="L1448" s="100"/>
      <c r="M1448" s="100"/>
    </row>
    <row r="1449" spans="4:13" s="104" customFormat="1">
      <c r="D1449" s="148"/>
      <c r="E1449" s="100"/>
      <c r="F1449" s="100"/>
      <c r="G1449" s="100"/>
      <c r="H1449" s="148"/>
      <c r="I1449" s="100"/>
      <c r="J1449" s="100"/>
      <c r="K1449" s="100"/>
      <c r="L1449" s="100"/>
      <c r="M1449" s="100"/>
    </row>
    <row r="1450" spans="4:13" s="104" customFormat="1">
      <c r="D1450" s="148"/>
      <c r="E1450" s="100"/>
      <c r="F1450" s="100"/>
      <c r="G1450" s="100"/>
      <c r="H1450" s="148"/>
      <c r="I1450" s="100"/>
      <c r="J1450" s="100"/>
      <c r="K1450" s="100"/>
      <c r="L1450" s="100"/>
      <c r="M1450" s="100"/>
    </row>
    <row r="1451" spans="4:13" s="104" customFormat="1">
      <c r="D1451" s="148"/>
      <c r="E1451" s="100"/>
      <c r="F1451" s="100"/>
      <c r="G1451" s="100"/>
      <c r="H1451" s="148"/>
      <c r="I1451" s="100"/>
      <c r="J1451" s="100"/>
      <c r="K1451" s="100"/>
      <c r="L1451" s="100"/>
      <c r="M1451" s="100"/>
    </row>
    <row r="1452" spans="4:13" s="104" customFormat="1">
      <c r="D1452" s="148"/>
      <c r="E1452" s="100"/>
      <c r="F1452" s="100"/>
      <c r="G1452" s="100"/>
      <c r="H1452" s="148"/>
      <c r="I1452" s="100"/>
      <c r="J1452" s="100"/>
      <c r="K1452" s="100"/>
      <c r="L1452" s="100"/>
      <c r="M1452" s="100"/>
    </row>
    <row r="1453" spans="4:13" s="104" customFormat="1">
      <c r="D1453" s="148"/>
      <c r="E1453" s="100"/>
      <c r="F1453" s="100"/>
      <c r="G1453" s="100"/>
      <c r="H1453" s="148"/>
      <c r="I1453" s="100"/>
      <c r="J1453" s="100"/>
      <c r="K1453" s="100"/>
      <c r="L1453" s="100"/>
      <c r="M1453" s="100"/>
    </row>
    <row r="1454" spans="4:13" s="104" customFormat="1">
      <c r="D1454" s="148"/>
      <c r="E1454" s="100"/>
      <c r="F1454" s="100"/>
      <c r="G1454" s="100"/>
      <c r="H1454" s="148"/>
      <c r="I1454" s="100"/>
      <c r="J1454" s="100"/>
      <c r="K1454" s="100"/>
      <c r="L1454" s="100"/>
      <c r="M1454" s="100"/>
    </row>
    <row r="1455" spans="4:13" s="104" customFormat="1">
      <c r="D1455" s="148"/>
      <c r="E1455" s="100"/>
      <c r="F1455" s="100"/>
      <c r="G1455" s="100"/>
      <c r="H1455" s="148"/>
      <c r="I1455" s="100"/>
      <c r="J1455" s="100"/>
      <c r="K1455" s="100"/>
      <c r="L1455" s="100"/>
      <c r="M1455" s="100"/>
    </row>
    <row r="1456" spans="4:13" s="104" customFormat="1">
      <c r="D1456" s="148"/>
      <c r="E1456" s="100"/>
      <c r="F1456" s="100"/>
      <c r="G1456" s="100"/>
      <c r="H1456" s="148"/>
      <c r="I1456" s="100"/>
      <c r="J1456" s="100"/>
      <c r="K1456" s="100"/>
      <c r="L1456" s="100"/>
      <c r="M1456" s="100"/>
    </row>
    <row r="1457" spans="4:13" s="104" customFormat="1">
      <c r="D1457" s="148"/>
      <c r="E1457" s="100"/>
      <c r="F1457" s="100"/>
      <c r="G1457" s="100"/>
      <c r="H1457" s="148"/>
      <c r="I1457" s="100"/>
      <c r="J1457" s="100"/>
      <c r="K1457" s="100"/>
      <c r="L1457" s="100"/>
      <c r="M1457" s="100"/>
    </row>
    <row r="1458" spans="4:13" s="104" customFormat="1">
      <c r="D1458" s="148"/>
      <c r="E1458" s="100"/>
      <c r="F1458" s="100"/>
      <c r="G1458" s="100"/>
      <c r="H1458" s="148"/>
      <c r="I1458" s="100"/>
      <c r="J1458" s="100"/>
      <c r="K1458" s="100"/>
      <c r="L1458" s="100"/>
      <c r="M1458" s="100"/>
    </row>
    <row r="1459" spans="4:13" s="104" customFormat="1">
      <c r="D1459" s="148"/>
      <c r="E1459" s="100"/>
      <c r="F1459" s="100"/>
      <c r="G1459" s="100"/>
      <c r="H1459" s="148"/>
      <c r="I1459" s="100"/>
      <c r="J1459" s="100"/>
      <c r="K1459" s="100"/>
      <c r="L1459" s="100"/>
      <c r="M1459" s="100"/>
    </row>
    <row r="1460" spans="4:13" s="104" customFormat="1">
      <c r="D1460" s="148"/>
      <c r="E1460" s="100"/>
      <c r="F1460" s="100"/>
      <c r="G1460" s="100"/>
      <c r="H1460" s="148"/>
      <c r="I1460" s="100"/>
      <c r="J1460" s="100"/>
      <c r="K1460" s="100"/>
      <c r="L1460" s="100"/>
      <c r="M1460" s="100"/>
    </row>
    <row r="1461" spans="4:13" s="104" customFormat="1">
      <c r="D1461" s="148"/>
      <c r="E1461" s="100"/>
      <c r="F1461" s="100"/>
      <c r="G1461" s="100"/>
      <c r="H1461" s="148"/>
      <c r="I1461" s="100"/>
      <c r="J1461" s="100"/>
      <c r="K1461" s="100"/>
      <c r="L1461" s="100"/>
      <c r="M1461" s="100"/>
    </row>
    <row r="1462" spans="4:13" s="104" customFormat="1">
      <c r="D1462" s="148"/>
      <c r="E1462" s="100"/>
      <c r="F1462" s="100"/>
      <c r="G1462" s="100"/>
      <c r="H1462" s="148"/>
      <c r="I1462" s="100"/>
      <c r="J1462" s="100"/>
      <c r="K1462" s="100"/>
      <c r="L1462" s="100"/>
      <c r="M1462" s="100"/>
    </row>
    <row r="1463" spans="4:13" s="104" customFormat="1">
      <c r="D1463" s="148"/>
      <c r="E1463" s="100"/>
      <c r="F1463" s="100"/>
      <c r="G1463" s="100"/>
      <c r="H1463" s="148"/>
      <c r="I1463" s="100"/>
      <c r="J1463" s="100"/>
      <c r="K1463" s="100"/>
      <c r="L1463" s="100"/>
      <c r="M1463" s="100"/>
    </row>
    <row r="1464" spans="4:13" s="104" customFormat="1">
      <c r="D1464" s="148"/>
      <c r="E1464" s="100"/>
      <c r="F1464" s="100"/>
      <c r="G1464" s="100"/>
      <c r="H1464" s="148"/>
      <c r="I1464" s="100"/>
      <c r="J1464" s="100"/>
      <c r="K1464" s="100"/>
      <c r="L1464" s="100"/>
      <c r="M1464" s="100"/>
    </row>
    <row r="1465" spans="4:13" s="104" customFormat="1">
      <c r="D1465" s="148"/>
      <c r="E1465" s="100"/>
      <c r="F1465" s="100"/>
      <c r="G1465" s="100"/>
      <c r="H1465" s="148"/>
      <c r="I1465" s="100"/>
      <c r="J1465" s="100"/>
      <c r="K1465" s="100"/>
      <c r="L1465" s="100"/>
      <c r="M1465" s="100"/>
    </row>
    <row r="1466" spans="4:13" s="104" customFormat="1">
      <c r="D1466" s="148"/>
      <c r="E1466" s="100"/>
      <c r="F1466" s="100"/>
      <c r="G1466" s="100"/>
      <c r="H1466" s="148"/>
      <c r="I1466" s="100"/>
      <c r="J1466" s="100"/>
      <c r="K1466" s="100"/>
      <c r="L1466" s="100"/>
      <c r="M1466" s="100"/>
    </row>
    <row r="1467" spans="4:13" s="104" customFormat="1">
      <c r="D1467" s="148"/>
      <c r="E1467" s="100"/>
      <c r="F1467" s="100"/>
      <c r="G1467" s="100"/>
      <c r="H1467" s="148"/>
      <c r="I1467" s="100"/>
      <c r="J1467" s="100"/>
      <c r="K1467" s="100"/>
      <c r="L1467" s="100"/>
      <c r="M1467" s="100"/>
    </row>
    <row r="1468" spans="4:13" s="104" customFormat="1">
      <c r="D1468" s="148"/>
      <c r="E1468" s="100"/>
      <c r="F1468" s="100"/>
      <c r="G1468" s="100"/>
      <c r="H1468" s="148"/>
      <c r="I1468" s="100"/>
      <c r="J1468" s="100"/>
      <c r="K1468" s="100"/>
      <c r="L1468" s="100"/>
      <c r="M1468" s="100"/>
    </row>
    <row r="1469" spans="4:13" s="104" customFormat="1">
      <c r="D1469" s="148"/>
      <c r="E1469" s="100"/>
      <c r="F1469" s="100"/>
      <c r="G1469" s="100"/>
      <c r="H1469" s="148"/>
      <c r="I1469" s="100"/>
      <c r="J1469" s="100"/>
      <c r="K1469" s="100"/>
      <c r="L1469" s="100"/>
      <c r="M1469" s="100"/>
    </row>
    <row r="1470" spans="4:13" s="104" customFormat="1">
      <c r="D1470" s="148"/>
      <c r="E1470" s="100"/>
      <c r="F1470" s="100"/>
      <c r="G1470" s="100"/>
      <c r="H1470" s="148"/>
      <c r="I1470" s="100"/>
      <c r="J1470" s="100"/>
      <c r="K1470" s="100"/>
      <c r="L1470" s="100"/>
      <c r="M1470" s="100"/>
    </row>
    <row r="1471" spans="4:13" s="104" customFormat="1">
      <c r="D1471" s="148"/>
      <c r="E1471" s="100"/>
      <c r="F1471" s="100"/>
      <c r="G1471" s="100"/>
      <c r="H1471" s="148"/>
      <c r="I1471" s="100"/>
      <c r="J1471" s="100"/>
      <c r="K1471" s="100"/>
      <c r="L1471" s="100"/>
      <c r="M1471" s="100"/>
    </row>
    <row r="1472" spans="4:13" s="104" customFormat="1">
      <c r="D1472" s="148"/>
      <c r="E1472" s="100"/>
      <c r="F1472" s="100"/>
      <c r="G1472" s="100"/>
      <c r="H1472" s="148"/>
      <c r="I1472" s="100"/>
      <c r="J1472" s="100"/>
      <c r="K1472" s="100"/>
      <c r="L1472" s="100"/>
      <c r="M1472" s="100"/>
    </row>
    <row r="1473" spans="4:13" s="104" customFormat="1">
      <c r="D1473" s="148"/>
      <c r="E1473" s="100"/>
      <c r="F1473" s="100"/>
      <c r="G1473" s="100"/>
      <c r="H1473" s="148"/>
      <c r="I1473" s="100"/>
      <c r="J1473" s="100"/>
      <c r="K1473" s="100"/>
      <c r="L1473" s="100"/>
      <c r="M1473" s="100"/>
    </row>
    <row r="1474" spans="4:13" s="104" customFormat="1">
      <c r="D1474" s="148"/>
      <c r="E1474" s="100"/>
      <c r="F1474" s="100"/>
      <c r="G1474" s="100"/>
      <c r="H1474" s="148"/>
      <c r="I1474" s="100"/>
      <c r="J1474" s="100"/>
      <c r="K1474" s="100"/>
      <c r="L1474" s="100"/>
      <c r="M1474" s="100"/>
    </row>
    <row r="1475" spans="4:13" s="104" customFormat="1">
      <c r="D1475" s="148"/>
      <c r="E1475" s="100"/>
      <c r="F1475" s="100"/>
      <c r="G1475" s="100"/>
      <c r="H1475" s="148"/>
      <c r="I1475" s="100"/>
      <c r="J1475" s="100"/>
      <c r="K1475" s="100"/>
      <c r="L1475" s="100"/>
      <c r="M1475" s="100"/>
    </row>
    <row r="1476" spans="4:13" s="104" customFormat="1">
      <c r="D1476" s="148"/>
      <c r="E1476" s="100"/>
      <c r="F1476" s="100"/>
      <c r="G1476" s="100"/>
      <c r="H1476" s="148"/>
      <c r="I1476" s="100"/>
      <c r="J1476" s="100"/>
      <c r="K1476" s="100"/>
      <c r="L1476" s="100"/>
      <c r="M1476" s="100"/>
    </row>
    <row r="1477" spans="4:13" s="104" customFormat="1">
      <c r="D1477" s="148"/>
      <c r="E1477" s="100"/>
      <c r="F1477" s="100"/>
      <c r="G1477" s="100"/>
      <c r="H1477" s="148"/>
      <c r="I1477" s="100"/>
      <c r="J1477" s="100"/>
      <c r="K1477" s="100"/>
      <c r="L1477" s="100"/>
      <c r="M1477" s="100"/>
    </row>
    <row r="1478" spans="4:13" s="104" customFormat="1">
      <c r="D1478" s="148"/>
      <c r="E1478" s="100"/>
      <c r="F1478" s="100"/>
      <c r="G1478" s="100"/>
      <c r="H1478" s="148"/>
      <c r="I1478" s="100"/>
      <c r="J1478" s="100"/>
      <c r="K1478" s="100"/>
      <c r="L1478" s="100"/>
      <c r="M1478" s="100"/>
    </row>
    <row r="1479" spans="4:13" s="104" customFormat="1">
      <c r="D1479" s="148"/>
      <c r="E1479" s="100"/>
      <c r="F1479" s="100"/>
      <c r="G1479" s="100"/>
      <c r="H1479" s="148"/>
      <c r="I1479" s="100"/>
      <c r="J1479" s="100"/>
      <c r="K1479" s="100"/>
      <c r="L1479" s="100"/>
      <c r="M1479" s="100"/>
    </row>
    <row r="1480" spans="4:13" s="104" customFormat="1">
      <c r="D1480" s="148"/>
      <c r="E1480" s="100"/>
      <c r="F1480" s="100"/>
      <c r="G1480" s="100"/>
      <c r="H1480" s="148"/>
      <c r="I1480" s="100"/>
      <c r="J1480" s="100"/>
      <c r="K1480" s="100"/>
      <c r="L1480" s="100"/>
      <c r="M1480" s="100"/>
    </row>
    <row r="1481" spans="4:13" s="104" customFormat="1">
      <c r="D1481" s="148"/>
      <c r="E1481" s="100"/>
      <c r="F1481" s="100"/>
      <c r="G1481" s="100"/>
      <c r="H1481" s="148"/>
      <c r="I1481" s="100"/>
      <c r="J1481" s="100"/>
      <c r="K1481" s="100"/>
      <c r="L1481" s="100"/>
      <c r="M1481" s="100"/>
    </row>
    <row r="1482" spans="4:13" s="104" customFormat="1">
      <c r="D1482" s="148"/>
      <c r="E1482" s="100"/>
      <c r="F1482" s="100"/>
      <c r="G1482" s="100"/>
      <c r="H1482" s="148"/>
      <c r="I1482" s="100"/>
      <c r="J1482" s="100"/>
      <c r="K1482" s="100"/>
      <c r="L1482" s="100"/>
      <c r="M1482" s="100"/>
    </row>
    <row r="1483" spans="4:13" s="104" customFormat="1">
      <c r="D1483" s="148"/>
      <c r="E1483" s="100"/>
      <c r="F1483" s="100"/>
      <c r="G1483" s="100"/>
      <c r="H1483" s="148"/>
      <c r="I1483" s="100"/>
      <c r="J1483" s="100"/>
      <c r="K1483" s="100"/>
      <c r="L1483" s="100"/>
      <c r="M1483" s="100"/>
    </row>
    <row r="1484" spans="4:13" s="104" customFormat="1">
      <c r="D1484" s="148"/>
      <c r="E1484" s="100"/>
      <c r="F1484" s="100"/>
      <c r="G1484" s="100"/>
      <c r="H1484" s="148"/>
      <c r="I1484" s="100"/>
      <c r="J1484" s="100"/>
      <c r="K1484" s="100"/>
      <c r="L1484" s="100"/>
      <c r="M1484" s="100"/>
    </row>
    <row r="1485" spans="4:13" s="104" customFormat="1">
      <c r="D1485" s="148"/>
      <c r="E1485" s="100"/>
      <c r="F1485" s="100"/>
      <c r="G1485" s="100"/>
      <c r="H1485" s="148"/>
      <c r="I1485" s="100"/>
      <c r="J1485" s="100"/>
      <c r="K1485" s="100"/>
      <c r="L1485" s="100"/>
      <c r="M1485" s="100"/>
    </row>
    <row r="1486" spans="4:13" s="104" customFormat="1">
      <c r="D1486" s="148"/>
      <c r="E1486" s="100"/>
      <c r="F1486" s="100"/>
      <c r="G1486" s="100"/>
      <c r="H1486" s="148"/>
      <c r="I1486" s="100"/>
      <c r="J1486" s="100"/>
      <c r="K1486" s="100"/>
      <c r="L1486" s="100"/>
      <c r="M1486" s="100"/>
    </row>
    <row r="1487" spans="4:13" s="104" customFormat="1">
      <c r="D1487" s="148"/>
      <c r="E1487" s="100"/>
      <c r="F1487" s="100"/>
      <c r="G1487" s="100"/>
      <c r="H1487" s="148"/>
      <c r="I1487" s="100"/>
      <c r="J1487" s="100"/>
      <c r="K1487" s="100"/>
      <c r="L1487" s="100"/>
      <c r="M1487" s="100"/>
    </row>
    <row r="1488" spans="4:13" s="104" customFormat="1">
      <c r="D1488" s="148"/>
      <c r="E1488" s="100"/>
      <c r="F1488" s="100"/>
      <c r="G1488" s="100"/>
      <c r="H1488" s="148"/>
      <c r="I1488" s="100"/>
      <c r="J1488" s="100"/>
      <c r="K1488" s="100"/>
      <c r="L1488" s="100"/>
      <c r="M1488" s="100"/>
    </row>
    <row r="1489" spans="4:13" s="104" customFormat="1">
      <c r="D1489" s="148"/>
      <c r="E1489" s="100"/>
      <c r="F1489" s="100"/>
      <c r="G1489" s="100"/>
      <c r="H1489" s="148"/>
      <c r="I1489" s="100"/>
      <c r="J1489" s="100"/>
      <c r="K1489" s="100"/>
      <c r="L1489" s="100"/>
      <c r="M1489" s="100"/>
    </row>
    <row r="1490" spans="4:13" s="104" customFormat="1">
      <c r="D1490" s="148"/>
      <c r="E1490" s="100"/>
      <c r="F1490" s="100"/>
      <c r="G1490" s="100"/>
      <c r="H1490" s="148"/>
      <c r="I1490" s="100"/>
      <c r="J1490" s="100"/>
      <c r="K1490" s="100"/>
      <c r="L1490" s="100"/>
      <c r="M1490" s="100"/>
    </row>
    <row r="1491" spans="4:13" s="104" customFormat="1">
      <c r="D1491" s="148"/>
      <c r="E1491" s="100"/>
      <c r="F1491" s="100"/>
      <c r="G1491" s="100"/>
      <c r="H1491" s="148"/>
      <c r="I1491" s="100"/>
      <c r="J1491" s="100"/>
      <c r="K1491" s="100"/>
      <c r="L1491" s="100"/>
      <c r="M1491" s="100"/>
    </row>
    <row r="1492" spans="4:13" s="104" customFormat="1">
      <c r="D1492" s="148"/>
      <c r="E1492" s="100"/>
      <c r="F1492" s="100"/>
      <c r="G1492" s="100"/>
      <c r="H1492" s="148"/>
      <c r="I1492" s="100"/>
      <c r="J1492" s="100"/>
      <c r="K1492" s="100"/>
      <c r="L1492" s="100"/>
      <c r="M1492" s="100"/>
    </row>
    <row r="1493" spans="4:13" s="104" customFormat="1">
      <c r="D1493" s="148"/>
      <c r="E1493" s="100"/>
      <c r="F1493" s="100"/>
      <c r="G1493" s="100"/>
      <c r="H1493" s="148"/>
      <c r="I1493" s="100"/>
      <c r="J1493" s="100"/>
      <c r="K1493" s="100"/>
      <c r="L1493" s="100"/>
      <c r="M1493" s="100"/>
    </row>
    <row r="1494" spans="4:13" s="104" customFormat="1">
      <c r="D1494" s="148"/>
      <c r="E1494" s="100"/>
      <c r="F1494" s="100"/>
      <c r="G1494" s="100"/>
      <c r="H1494" s="148"/>
      <c r="I1494" s="100"/>
      <c r="J1494" s="100"/>
      <c r="K1494" s="100"/>
      <c r="L1494" s="100"/>
      <c r="M1494" s="100"/>
    </row>
    <row r="1495" spans="4:13" s="104" customFormat="1">
      <c r="D1495" s="148"/>
      <c r="E1495" s="100"/>
      <c r="F1495" s="100"/>
      <c r="G1495" s="100"/>
      <c r="H1495" s="148"/>
      <c r="I1495" s="100"/>
      <c r="J1495" s="100"/>
      <c r="K1495" s="100"/>
      <c r="L1495" s="100"/>
      <c r="M1495" s="100"/>
    </row>
    <row r="1496" spans="4:13" s="104" customFormat="1">
      <c r="D1496" s="148"/>
      <c r="E1496" s="100"/>
      <c r="F1496" s="100"/>
      <c r="G1496" s="100"/>
      <c r="H1496" s="148"/>
      <c r="I1496" s="100"/>
      <c r="J1496" s="100"/>
      <c r="K1496" s="100"/>
      <c r="L1496" s="100"/>
      <c r="M1496" s="100"/>
    </row>
    <row r="1497" spans="4:13" s="104" customFormat="1">
      <c r="D1497" s="148"/>
      <c r="E1497" s="100"/>
      <c r="F1497" s="100"/>
      <c r="G1497" s="100"/>
      <c r="H1497" s="148"/>
      <c r="I1497" s="100"/>
      <c r="J1497" s="100"/>
      <c r="K1497" s="100"/>
      <c r="L1497" s="100"/>
      <c r="M1497" s="100"/>
    </row>
    <row r="1498" spans="4:13" s="104" customFormat="1">
      <c r="D1498" s="148"/>
      <c r="E1498" s="100"/>
      <c r="F1498" s="100"/>
      <c r="G1498" s="100"/>
      <c r="H1498" s="148"/>
      <c r="I1498" s="100"/>
      <c r="J1498" s="100"/>
      <c r="K1498" s="100"/>
      <c r="L1498" s="100"/>
      <c r="M1498" s="100"/>
    </row>
    <row r="1499" spans="4:13" s="104" customFormat="1">
      <c r="D1499" s="148"/>
      <c r="E1499" s="100"/>
      <c r="F1499" s="100"/>
      <c r="G1499" s="100"/>
      <c r="H1499" s="148"/>
      <c r="I1499" s="100"/>
      <c r="J1499" s="100"/>
      <c r="K1499" s="100"/>
      <c r="L1499" s="100"/>
      <c r="M1499" s="100"/>
    </row>
    <row r="1500" spans="4:13" s="104" customFormat="1">
      <c r="D1500" s="148"/>
      <c r="E1500" s="100"/>
      <c r="F1500" s="100"/>
      <c r="G1500" s="100"/>
      <c r="H1500" s="148"/>
      <c r="I1500" s="100"/>
      <c r="J1500" s="100"/>
      <c r="K1500" s="100"/>
      <c r="L1500" s="100"/>
      <c r="M1500" s="100"/>
    </row>
    <row r="1501" spans="4:13" s="104" customFormat="1">
      <c r="D1501" s="148"/>
      <c r="E1501" s="100"/>
      <c r="F1501" s="100"/>
      <c r="G1501" s="100"/>
      <c r="H1501" s="148"/>
      <c r="I1501" s="100"/>
      <c r="J1501" s="100"/>
      <c r="K1501" s="100"/>
      <c r="L1501" s="100"/>
      <c r="M1501" s="100"/>
    </row>
    <row r="1502" spans="4:13" s="104" customFormat="1">
      <c r="D1502" s="148"/>
      <c r="E1502" s="100"/>
      <c r="F1502" s="100"/>
      <c r="G1502" s="100"/>
      <c r="H1502" s="148"/>
      <c r="I1502" s="100"/>
      <c r="J1502" s="100"/>
      <c r="K1502" s="100"/>
      <c r="L1502" s="100"/>
      <c r="M1502" s="100"/>
    </row>
    <row r="1503" spans="4:13" s="104" customFormat="1">
      <c r="D1503" s="148"/>
      <c r="E1503" s="100"/>
      <c r="F1503" s="100"/>
      <c r="G1503" s="100"/>
      <c r="H1503" s="148"/>
      <c r="I1503" s="100"/>
      <c r="J1503" s="100"/>
      <c r="K1503" s="100"/>
      <c r="L1503" s="100"/>
      <c r="M1503" s="100"/>
    </row>
    <row r="1504" spans="4:13" s="104" customFormat="1">
      <c r="D1504" s="148"/>
      <c r="E1504" s="100"/>
      <c r="F1504" s="100"/>
      <c r="G1504" s="100"/>
      <c r="H1504" s="148"/>
      <c r="I1504" s="100"/>
      <c r="J1504" s="100"/>
      <c r="K1504" s="100"/>
      <c r="L1504" s="100"/>
      <c r="M1504" s="100"/>
    </row>
    <row r="1505" spans="4:13" s="104" customFormat="1">
      <c r="D1505" s="148"/>
      <c r="E1505" s="100"/>
      <c r="F1505" s="100"/>
      <c r="G1505" s="100"/>
      <c r="H1505" s="148"/>
      <c r="I1505" s="100"/>
      <c r="J1505" s="100"/>
      <c r="K1505" s="100"/>
      <c r="L1505" s="100"/>
      <c r="M1505" s="100"/>
    </row>
    <row r="1506" spans="4:13" s="104" customFormat="1">
      <c r="D1506" s="148"/>
      <c r="E1506" s="100"/>
      <c r="F1506" s="100"/>
      <c r="G1506" s="100"/>
      <c r="H1506" s="148"/>
      <c r="I1506" s="100"/>
      <c r="J1506" s="100"/>
      <c r="K1506" s="100"/>
      <c r="L1506" s="100"/>
      <c r="M1506" s="100"/>
    </row>
    <row r="1507" spans="4:13" s="104" customFormat="1">
      <c r="D1507" s="148"/>
      <c r="E1507" s="100"/>
      <c r="F1507" s="100"/>
      <c r="G1507" s="100"/>
      <c r="H1507" s="148"/>
      <c r="I1507" s="100"/>
      <c r="J1507" s="100"/>
      <c r="K1507" s="100"/>
      <c r="L1507" s="100"/>
      <c r="M1507" s="100"/>
    </row>
    <row r="1508" spans="4:13" s="104" customFormat="1">
      <c r="D1508" s="148"/>
      <c r="E1508" s="100"/>
      <c r="F1508" s="100"/>
      <c r="G1508" s="100"/>
      <c r="H1508" s="148"/>
      <c r="I1508" s="100"/>
      <c r="J1508" s="100"/>
      <c r="K1508" s="100"/>
      <c r="L1508" s="100"/>
      <c r="M1508" s="100"/>
    </row>
    <row r="1509" spans="4:13" s="104" customFormat="1">
      <c r="D1509" s="148"/>
      <c r="E1509" s="100"/>
      <c r="F1509" s="100"/>
      <c r="G1509" s="100"/>
      <c r="H1509" s="148"/>
      <c r="I1509" s="100"/>
      <c r="J1509" s="100"/>
      <c r="K1509" s="100"/>
      <c r="L1509" s="100"/>
      <c r="M1509" s="100"/>
    </row>
    <row r="1510" spans="4:13" s="104" customFormat="1">
      <c r="D1510" s="148"/>
      <c r="E1510" s="100"/>
      <c r="F1510" s="100"/>
      <c r="G1510" s="100"/>
      <c r="H1510" s="148"/>
      <c r="I1510" s="100"/>
      <c r="J1510" s="100"/>
      <c r="K1510" s="100"/>
      <c r="L1510" s="100"/>
      <c r="M1510" s="100"/>
    </row>
    <row r="1511" spans="4:13" s="104" customFormat="1">
      <c r="D1511" s="148"/>
      <c r="E1511" s="100"/>
      <c r="F1511" s="100"/>
      <c r="G1511" s="100"/>
      <c r="H1511" s="148"/>
      <c r="I1511" s="100"/>
      <c r="J1511" s="100"/>
      <c r="K1511" s="100"/>
      <c r="L1511" s="100"/>
      <c r="M1511" s="100"/>
    </row>
    <row r="1512" spans="4:13" s="104" customFormat="1">
      <c r="D1512" s="148"/>
      <c r="E1512" s="100"/>
      <c r="F1512" s="100"/>
      <c r="G1512" s="100"/>
      <c r="H1512" s="148"/>
      <c r="I1512" s="100"/>
      <c r="J1512" s="100"/>
      <c r="K1512" s="100"/>
      <c r="L1512" s="100"/>
      <c r="M1512" s="100"/>
    </row>
    <row r="1513" spans="4:13" s="104" customFormat="1">
      <c r="D1513" s="148"/>
      <c r="E1513" s="100"/>
      <c r="F1513" s="100"/>
      <c r="G1513" s="100"/>
      <c r="H1513" s="148"/>
      <c r="I1513" s="100"/>
      <c r="J1513" s="100"/>
      <c r="K1513" s="100"/>
      <c r="L1513" s="100"/>
      <c r="M1513" s="100"/>
    </row>
    <row r="1514" spans="4:13" s="104" customFormat="1">
      <c r="D1514" s="148"/>
      <c r="E1514" s="100"/>
      <c r="F1514" s="100"/>
      <c r="G1514" s="100"/>
      <c r="H1514" s="148"/>
      <c r="I1514" s="100"/>
      <c r="J1514" s="100"/>
      <c r="K1514" s="100"/>
      <c r="L1514" s="100"/>
      <c r="M1514" s="100"/>
    </row>
    <row r="1515" spans="4:13" s="104" customFormat="1">
      <c r="D1515" s="148"/>
      <c r="E1515" s="100"/>
      <c r="F1515" s="100"/>
      <c r="G1515" s="100"/>
      <c r="H1515" s="148"/>
      <c r="I1515" s="100"/>
      <c r="J1515" s="100"/>
      <c r="K1515" s="100"/>
      <c r="L1515" s="100"/>
      <c r="M1515" s="100"/>
    </row>
    <row r="1516" spans="4:13" s="104" customFormat="1">
      <c r="D1516" s="148"/>
      <c r="E1516" s="100"/>
      <c r="F1516" s="100"/>
      <c r="G1516" s="100"/>
      <c r="H1516" s="148"/>
      <c r="I1516" s="100"/>
      <c r="J1516" s="100"/>
      <c r="K1516" s="100"/>
      <c r="L1516" s="100"/>
      <c r="M1516" s="100"/>
    </row>
    <row r="1517" spans="4:13" s="104" customFormat="1">
      <c r="D1517" s="148"/>
      <c r="E1517" s="100"/>
      <c r="F1517" s="100"/>
      <c r="G1517" s="100"/>
      <c r="H1517" s="148"/>
      <c r="I1517" s="100"/>
      <c r="J1517" s="100"/>
      <c r="K1517" s="100"/>
      <c r="L1517" s="100"/>
      <c r="M1517" s="100"/>
    </row>
    <row r="1518" spans="4:13" s="104" customFormat="1">
      <c r="D1518" s="148"/>
      <c r="E1518" s="100"/>
      <c r="F1518" s="100"/>
      <c r="G1518" s="100"/>
      <c r="H1518" s="148"/>
      <c r="I1518" s="100"/>
      <c r="J1518" s="100"/>
      <c r="K1518" s="100"/>
      <c r="L1518" s="100"/>
      <c r="M1518" s="100"/>
    </row>
    <row r="1519" spans="4:13" s="104" customFormat="1">
      <c r="D1519" s="148"/>
      <c r="E1519" s="100"/>
      <c r="F1519" s="100"/>
      <c r="G1519" s="100"/>
      <c r="H1519" s="148"/>
      <c r="I1519" s="100"/>
      <c r="J1519" s="100"/>
      <c r="K1519" s="100"/>
      <c r="L1519" s="100"/>
      <c r="M1519" s="100"/>
    </row>
    <row r="1520" spans="4:13" s="104" customFormat="1">
      <c r="D1520" s="148"/>
      <c r="E1520" s="100"/>
      <c r="F1520" s="100"/>
      <c r="G1520" s="100"/>
      <c r="H1520" s="148"/>
      <c r="I1520" s="100"/>
      <c r="J1520" s="100"/>
      <c r="K1520" s="100"/>
      <c r="L1520" s="100"/>
      <c r="M1520" s="100"/>
    </row>
    <row r="1521" spans="4:13" s="104" customFormat="1">
      <c r="D1521" s="148"/>
      <c r="E1521" s="100"/>
      <c r="F1521" s="100"/>
      <c r="G1521" s="100"/>
      <c r="H1521" s="148"/>
      <c r="I1521" s="100"/>
      <c r="J1521" s="100"/>
      <c r="K1521" s="100"/>
      <c r="L1521" s="100"/>
      <c r="M1521" s="100"/>
    </row>
    <row r="1522" spans="4:13" s="104" customFormat="1">
      <c r="D1522" s="148"/>
      <c r="E1522" s="100"/>
      <c r="F1522" s="100"/>
      <c r="G1522" s="100"/>
      <c r="H1522" s="148"/>
      <c r="I1522" s="100"/>
      <c r="J1522" s="100"/>
      <c r="K1522" s="100"/>
      <c r="L1522" s="100"/>
      <c r="M1522" s="100"/>
    </row>
    <row r="1523" spans="4:13" s="104" customFormat="1">
      <c r="D1523" s="148"/>
      <c r="E1523" s="100"/>
      <c r="F1523" s="100"/>
      <c r="G1523" s="100"/>
      <c r="H1523" s="148"/>
      <c r="I1523" s="100"/>
      <c r="J1523" s="100"/>
      <c r="K1523" s="100"/>
      <c r="L1523" s="100"/>
      <c r="M1523" s="100"/>
    </row>
    <row r="1524" spans="4:13" s="104" customFormat="1">
      <c r="D1524" s="148"/>
      <c r="E1524" s="100"/>
      <c r="F1524" s="100"/>
      <c r="G1524" s="100"/>
      <c r="H1524" s="148"/>
      <c r="I1524" s="100"/>
      <c r="J1524" s="100"/>
      <c r="K1524" s="100"/>
      <c r="L1524" s="100"/>
      <c r="M1524" s="100"/>
    </row>
    <row r="1525" spans="4:13" s="104" customFormat="1">
      <c r="D1525" s="148"/>
      <c r="E1525" s="100"/>
      <c r="F1525" s="100"/>
      <c r="G1525" s="100"/>
      <c r="H1525" s="148"/>
      <c r="I1525" s="100"/>
      <c r="J1525" s="100"/>
      <c r="K1525" s="100"/>
      <c r="L1525" s="100"/>
      <c r="M1525" s="100"/>
    </row>
    <row r="1526" spans="4:13" s="104" customFormat="1">
      <c r="D1526" s="148"/>
      <c r="E1526" s="100"/>
      <c r="F1526" s="100"/>
      <c r="G1526" s="100"/>
      <c r="H1526" s="148"/>
      <c r="I1526" s="100"/>
      <c r="J1526" s="100"/>
      <c r="K1526" s="100"/>
      <c r="L1526" s="100"/>
      <c r="M1526" s="100"/>
    </row>
    <row r="1527" spans="4:13" s="104" customFormat="1">
      <c r="D1527" s="148"/>
      <c r="E1527" s="100"/>
      <c r="F1527" s="100"/>
      <c r="G1527" s="100"/>
      <c r="H1527" s="148"/>
      <c r="I1527" s="100"/>
      <c r="J1527" s="100"/>
      <c r="K1527" s="100"/>
      <c r="L1527" s="100"/>
      <c r="M1527" s="100"/>
    </row>
    <row r="1528" spans="4:13" s="104" customFormat="1">
      <c r="D1528" s="148"/>
      <c r="E1528" s="100"/>
      <c r="F1528" s="100"/>
      <c r="G1528" s="100"/>
      <c r="H1528" s="148"/>
      <c r="I1528" s="100"/>
      <c r="J1528" s="100"/>
      <c r="K1528" s="100"/>
      <c r="L1528" s="100"/>
      <c r="M1528" s="100"/>
    </row>
    <row r="1529" spans="4:13" s="104" customFormat="1">
      <c r="D1529" s="148"/>
      <c r="E1529" s="100"/>
      <c r="F1529" s="100"/>
      <c r="G1529" s="100"/>
      <c r="H1529" s="148"/>
      <c r="I1529" s="100"/>
      <c r="J1529" s="100"/>
      <c r="K1529" s="100"/>
      <c r="L1529" s="100"/>
      <c r="M1529" s="100"/>
    </row>
    <row r="1530" spans="4:13" s="104" customFormat="1">
      <c r="D1530" s="148"/>
      <c r="E1530" s="100"/>
      <c r="F1530" s="100"/>
      <c r="G1530" s="100"/>
      <c r="H1530" s="148"/>
      <c r="I1530" s="100"/>
      <c r="J1530" s="100"/>
      <c r="K1530" s="100"/>
      <c r="L1530" s="100"/>
      <c r="M1530" s="100"/>
    </row>
    <row r="1531" spans="4:13" s="104" customFormat="1">
      <c r="D1531" s="148"/>
      <c r="E1531" s="100"/>
      <c r="F1531" s="100"/>
      <c r="G1531" s="100"/>
      <c r="H1531" s="148"/>
      <c r="I1531" s="100"/>
      <c r="J1531" s="100"/>
      <c r="K1531" s="100"/>
      <c r="L1531" s="100"/>
      <c r="M1531" s="100"/>
    </row>
    <row r="1532" spans="4:13" s="104" customFormat="1">
      <c r="D1532" s="148"/>
      <c r="E1532" s="100"/>
      <c r="F1532" s="100"/>
      <c r="G1532" s="100"/>
      <c r="H1532" s="148"/>
      <c r="I1532" s="100"/>
      <c r="J1532" s="100"/>
      <c r="K1532" s="100"/>
      <c r="L1532" s="100"/>
      <c r="M1532" s="100"/>
    </row>
    <row r="1533" spans="4:13" s="104" customFormat="1">
      <c r="D1533" s="148"/>
      <c r="E1533" s="100"/>
      <c r="F1533" s="100"/>
      <c r="G1533" s="100"/>
      <c r="H1533" s="148"/>
      <c r="I1533" s="100"/>
      <c r="J1533" s="100"/>
      <c r="K1533" s="100"/>
      <c r="L1533" s="100"/>
      <c r="M1533" s="100"/>
    </row>
    <row r="1534" spans="4:13" s="104" customFormat="1">
      <c r="D1534" s="148"/>
      <c r="E1534" s="100"/>
      <c r="F1534" s="100"/>
      <c r="G1534" s="100"/>
      <c r="H1534" s="148"/>
      <c r="I1534" s="100"/>
      <c r="J1534" s="100"/>
      <c r="K1534" s="100"/>
      <c r="L1534" s="100"/>
      <c r="M1534" s="100"/>
    </row>
    <row r="1535" spans="4:13" s="104" customFormat="1">
      <c r="D1535" s="148"/>
      <c r="E1535" s="100"/>
      <c r="F1535" s="100"/>
      <c r="G1535" s="100"/>
      <c r="H1535" s="148"/>
      <c r="I1535" s="100"/>
      <c r="J1535" s="100"/>
      <c r="K1535" s="100"/>
      <c r="L1535" s="100"/>
      <c r="M1535" s="100"/>
    </row>
    <row r="1536" spans="4:13" s="104" customFormat="1">
      <c r="D1536" s="148"/>
      <c r="E1536" s="100"/>
      <c r="F1536" s="100"/>
      <c r="G1536" s="100"/>
      <c r="H1536" s="148"/>
      <c r="I1536" s="100"/>
      <c r="J1536" s="100"/>
      <c r="K1536" s="100"/>
      <c r="L1536" s="100"/>
      <c r="M1536" s="100"/>
    </row>
    <row r="1537" spans="4:13" s="104" customFormat="1">
      <c r="D1537" s="148"/>
      <c r="E1537" s="100"/>
      <c r="F1537" s="100"/>
      <c r="G1537" s="100"/>
      <c r="H1537" s="148"/>
      <c r="I1537" s="100"/>
      <c r="J1537" s="100"/>
      <c r="K1537" s="100"/>
      <c r="L1537" s="100"/>
      <c r="M1537" s="100"/>
    </row>
    <row r="1538" spans="4:13" s="104" customFormat="1">
      <c r="D1538" s="148"/>
      <c r="E1538" s="100"/>
      <c r="F1538" s="100"/>
      <c r="G1538" s="100"/>
      <c r="H1538" s="148"/>
      <c r="I1538" s="100"/>
      <c r="J1538" s="100"/>
      <c r="K1538" s="100"/>
      <c r="L1538" s="100"/>
      <c r="M1538" s="100"/>
    </row>
    <row r="1539" spans="4:13" s="104" customFormat="1">
      <c r="D1539" s="148"/>
      <c r="E1539" s="100"/>
      <c r="F1539" s="100"/>
      <c r="G1539" s="100"/>
      <c r="H1539" s="148"/>
      <c r="I1539" s="100"/>
      <c r="J1539" s="100"/>
      <c r="K1539" s="100"/>
      <c r="L1539" s="100"/>
      <c r="M1539" s="100"/>
    </row>
    <row r="1540" spans="4:13" s="104" customFormat="1">
      <c r="D1540" s="148"/>
      <c r="E1540" s="100"/>
      <c r="F1540" s="100"/>
      <c r="G1540" s="100"/>
      <c r="H1540" s="148"/>
      <c r="I1540" s="100"/>
      <c r="J1540" s="100"/>
      <c r="K1540" s="100"/>
      <c r="L1540" s="100"/>
      <c r="M1540" s="100"/>
    </row>
    <row r="1541" spans="4:13" s="104" customFormat="1">
      <c r="D1541" s="148"/>
      <c r="E1541" s="100"/>
      <c r="F1541" s="100"/>
      <c r="G1541" s="100"/>
      <c r="H1541" s="148"/>
      <c r="I1541" s="100"/>
      <c r="J1541" s="100"/>
      <c r="K1541" s="100"/>
      <c r="L1541" s="100"/>
      <c r="M1541" s="100"/>
    </row>
    <row r="1542" spans="4:13" s="104" customFormat="1">
      <c r="D1542" s="148"/>
      <c r="E1542" s="100"/>
      <c r="F1542" s="100"/>
      <c r="G1542" s="100"/>
      <c r="H1542" s="148"/>
      <c r="I1542" s="100"/>
      <c r="J1542" s="100"/>
      <c r="K1542" s="100"/>
      <c r="L1542" s="100"/>
      <c r="M1542" s="100"/>
    </row>
    <row r="1543" spans="4:13" s="104" customFormat="1">
      <c r="D1543" s="148"/>
      <c r="E1543" s="100"/>
      <c r="F1543" s="100"/>
      <c r="G1543" s="100"/>
      <c r="H1543" s="148"/>
      <c r="I1543" s="100"/>
      <c r="J1543" s="100"/>
      <c r="K1543" s="100"/>
      <c r="L1543" s="100"/>
      <c r="M1543" s="100"/>
    </row>
    <row r="1544" spans="4:13" s="104" customFormat="1">
      <c r="D1544" s="148"/>
      <c r="E1544" s="100"/>
      <c r="F1544" s="100"/>
      <c r="G1544" s="100"/>
      <c r="H1544" s="148"/>
      <c r="I1544" s="100"/>
      <c r="J1544" s="100"/>
      <c r="K1544" s="100"/>
      <c r="L1544" s="100"/>
      <c r="M1544" s="100"/>
    </row>
    <row r="1545" spans="4:13" s="104" customFormat="1">
      <c r="D1545" s="148"/>
      <c r="E1545" s="100"/>
      <c r="F1545" s="100"/>
      <c r="G1545" s="100"/>
      <c r="H1545" s="148"/>
      <c r="I1545" s="100"/>
      <c r="J1545" s="100"/>
      <c r="K1545" s="100"/>
      <c r="L1545" s="100"/>
      <c r="M1545" s="100"/>
    </row>
    <row r="1546" spans="4:13" s="104" customFormat="1">
      <c r="D1546" s="148"/>
      <c r="E1546" s="100"/>
      <c r="F1546" s="100"/>
      <c r="G1546" s="100"/>
      <c r="H1546" s="148"/>
      <c r="I1546" s="100"/>
      <c r="J1546" s="100"/>
      <c r="K1546" s="100"/>
      <c r="L1546" s="100"/>
      <c r="M1546" s="100"/>
    </row>
    <row r="1547" spans="4:13" s="104" customFormat="1">
      <c r="D1547" s="148"/>
      <c r="E1547" s="100"/>
      <c r="F1547" s="100"/>
      <c r="G1547" s="100"/>
      <c r="H1547" s="148"/>
      <c r="I1547" s="100"/>
      <c r="J1547" s="100"/>
      <c r="K1547" s="100"/>
      <c r="L1547" s="100"/>
      <c r="M1547" s="100"/>
    </row>
    <row r="1548" spans="4:13" s="104" customFormat="1">
      <c r="D1548" s="148"/>
      <c r="E1548" s="100"/>
      <c r="F1548" s="100"/>
      <c r="G1548" s="100"/>
      <c r="H1548" s="148"/>
      <c r="I1548" s="100"/>
      <c r="J1548" s="100"/>
      <c r="K1548" s="100"/>
      <c r="L1548" s="100"/>
      <c r="M1548" s="100"/>
    </row>
    <row r="1549" spans="4:13" s="104" customFormat="1">
      <c r="D1549" s="148"/>
      <c r="E1549" s="100"/>
      <c r="F1549" s="100"/>
      <c r="G1549" s="100"/>
      <c r="H1549" s="148"/>
      <c r="I1549" s="100"/>
      <c r="J1549" s="100"/>
      <c r="K1549" s="100"/>
      <c r="L1549" s="100"/>
      <c r="M1549" s="100"/>
    </row>
    <row r="1550" spans="4:13" s="104" customFormat="1">
      <c r="D1550" s="148"/>
      <c r="E1550" s="100"/>
      <c r="F1550" s="100"/>
      <c r="G1550" s="100"/>
      <c r="H1550" s="148"/>
      <c r="I1550" s="100"/>
      <c r="J1550" s="100"/>
      <c r="K1550" s="100"/>
      <c r="L1550" s="100"/>
      <c r="M1550" s="100"/>
    </row>
    <row r="1551" spans="4:13" s="104" customFormat="1">
      <c r="D1551" s="148"/>
      <c r="E1551" s="100"/>
      <c r="F1551" s="100"/>
      <c r="G1551" s="100"/>
      <c r="H1551" s="148"/>
      <c r="I1551" s="100"/>
      <c r="J1551" s="100"/>
      <c r="K1551" s="100"/>
      <c r="L1551" s="100"/>
      <c r="M1551" s="100"/>
    </row>
    <row r="1552" spans="4:13" s="104" customFormat="1">
      <c r="D1552" s="148"/>
      <c r="E1552" s="100"/>
      <c r="F1552" s="100"/>
      <c r="G1552" s="100"/>
      <c r="H1552" s="148"/>
      <c r="I1552" s="100"/>
      <c r="J1552" s="100"/>
      <c r="K1552" s="100"/>
      <c r="L1552" s="100"/>
      <c r="M1552" s="100"/>
    </row>
    <row r="1553" spans="4:13" s="104" customFormat="1">
      <c r="D1553" s="148"/>
      <c r="E1553" s="100"/>
      <c r="F1553" s="100"/>
      <c r="G1553" s="100"/>
      <c r="H1553" s="148"/>
      <c r="I1553" s="100"/>
      <c r="J1553" s="100"/>
      <c r="K1553" s="100"/>
      <c r="L1553" s="100"/>
      <c r="M1553" s="100"/>
    </row>
    <row r="1554" spans="4:13" s="104" customFormat="1">
      <c r="D1554" s="148"/>
      <c r="E1554" s="100"/>
      <c r="F1554" s="100"/>
      <c r="G1554" s="100"/>
      <c r="H1554" s="148"/>
      <c r="I1554" s="100"/>
      <c r="J1554" s="100"/>
      <c r="K1554" s="100"/>
      <c r="L1554" s="100"/>
      <c r="M1554" s="100"/>
    </row>
    <row r="1555" spans="4:13" s="104" customFormat="1">
      <c r="D1555" s="148"/>
      <c r="E1555" s="100"/>
      <c r="F1555" s="100"/>
      <c r="G1555" s="100"/>
      <c r="H1555" s="148"/>
      <c r="I1555" s="100"/>
      <c r="J1555" s="100"/>
      <c r="K1555" s="100"/>
      <c r="L1555" s="100"/>
      <c r="M1555" s="100"/>
    </row>
    <row r="1556" spans="4:13" s="104" customFormat="1">
      <c r="D1556" s="148"/>
      <c r="E1556" s="100"/>
      <c r="F1556" s="100"/>
      <c r="G1556" s="100"/>
      <c r="H1556" s="148"/>
      <c r="I1556" s="100"/>
      <c r="J1556" s="100"/>
      <c r="K1556" s="100"/>
      <c r="L1556" s="100"/>
      <c r="M1556" s="100"/>
    </row>
    <row r="1557" spans="4:13" s="104" customFormat="1">
      <c r="D1557" s="148"/>
      <c r="E1557" s="100"/>
      <c r="F1557" s="100"/>
      <c r="G1557" s="100"/>
      <c r="H1557" s="148"/>
      <c r="I1557" s="100"/>
      <c r="J1557" s="100"/>
      <c r="K1557" s="100"/>
      <c r="L1557" s="100"/>
      <c r="M1557" s="100"/>
    </row>
    <row r="1558" spans="4:13" s="104" customFormat="1">
      <c r="D1558" s="148"/>
      <c r="E1558" s="100"/>
      <c r="F1558" s="100"/>
      <c r="G1558" s="100"/>
      <c r="H1558" s="148"/>
      <c r="I1558" s="100"/>
      <c r="J1558" s="100"/>
      <c r="K1558" s="100"/>
      <c r="L1558" s="100"/>
      <c r="M1558" s="100"/>
    </row>
    <row r="1559" spans="4:13" s="104" customFormat="1">
      <c r="D1559" s="148"/>
      <c r="E1559" s="100"/>
      <c r="F1559" s="100"/>
      <c r="G1559" s="100"/>
      <c r="H1559" s="148"/>
      <c r="I1559" s="100"/>
      <c r="J1559" s="100"/>
      <c r="K1559" s="100"/>
      <c r="L1559" s="100"/>
      <c r="M1559" s="100"/>
    </row>
    <row r="1560" spans="4:13" s="104" customFormat="1">
      <c r="D1560" s="148"/>
      <c r="E1560" s="100"/>
      <c r="F1560" s="100"/>
      <c r="G1560" s="100"/>
      <c r="H1560" s="148"/>
      <c r="I1560" s="100"/>
      <c r="J1560" s="100"/>
      <c r="K1560" s="100"/>
      <c r="L1560" s="100"/>
      <c r="M1560" s="100"/>
    </row>
    <row r="1561" spans="4:13" s="104" customFormat="1">
      <c r="D1561" s="148"/>
      <c r="E1561" s="100"/>
      <c r="F1561" s="100"/>
      <c r="G1561" s="100"/>
      <c r="H1561" s="148"/>
      <c r="I1561" s="100"/>
      <c r="J1561" s="100"/>
      <c r="K1561" s="100"/>
      <c r="L1561" s="100"/>
      <c r="M1561" s="100"/>
    </row>
    <row r="1562" spans="4:13" s="104" customFormat="1">
      <c r="D1562" s="148"/>
      <c r="E1562" s="100"/>
      <c r="F1562" s="100"/>
      <c r="G1562" s="100"/>
      <c r="H1562" s="148"/>
      <c r="I1562" s="100"/>
      <c r="J1562" s="100"/>
      <c r="K1562" s="100"/>
      <c r="L1562" s="100"/>
      <c r="M1562" s="100"/>
    </row>
    <row r="1563" spans="4:13" s="104" customFormat="1">
      <c r="D1563" s="148"/>
      <c r="E1563" s="100"/>
      <c r="F1563" s="100"/>
      <c r="G1563" s="100"/>
      <c r="H1563" s="148"/>
      <c r="I1563" s="100"/>
      <c r="J1563" s="100"/>
      <c r="K1563" s="100"/>
      <c r="L1563" s="100"/>
      <c r="M1563" s="100"/>
    </row>
    <row r="1564" spans="4:13" s="104" customFormat="1">
      <c r="D1564" s="148"/>
      <c r="E1564" s="100"/>
      <c r="F1564" s="100"/>
      <c r="G1564" s="100"/>
      <c r="H1564" s="148"/>
      <c r="I1564" s="100"/>
      <c r="J1564" s="100"/>
      <c r="K1564" s="100"/>
      <c r="L1564" s="100"/>
      <c r="M1564" s="100"/>
    </row>
    <row r="1565" spans="4:13" s="104" customFormat="1">
      <c r="D1565" s="148"/>
      <c r="E1565" s="100"/>
      <c r="F1565" s="100"/>
      <c r="G1565" s="100"/>
      <c r="H1565" s="148"/>
      <c r="I1565" s="100"/>
      <c r="J1565" s="100"/>
      <c r="K1565" s="100"/>
      <c r="L1565" s="100"/>
      <c r="M1565" s="100"/>
    </row>
    <row r="1566" spans="4:13" s="104" customFormat="1">
      <c r="D1566" s="148"/>
      <c r="E1566" s="100"/>
      <c r="F1566" s="100"/>
      <c r="G1566" s="100"/>
      <c r="H1566" s="148"/>
      <c r="I1566" s="100"/>
      <c r="J1566" s="100"/>
      <c r="K1566" s="100"/>
      <c r="L1566" s="100"/>
      <c r="M1566" s="100"/>
    </row>
    <row r="1567" spans="4:13" s="104" customFormat="1">
      <c r="D1567" s="148"/>
      <c r="E1567" s="100"/>
      <c r="F1567" s="100"/>
      <c r="G1567" s="100"/>
      <c r="H1567" s="148"/>
      <c r="I1567" s="100"/>
      <c r="J1567" s="100"/>
      <c r="K1567" s="100"/>
      <c r="L1567" s="100"/>
      <c r="M1567" s="100"/>
    </row>
    <row r="1568" spans="4:13" s="104" customFormat="1">
      <c r="D1568" s="148"/>
      <c r="E1568" s="100"/>
      <c r="F1568" s="100"/>
      <c r="G1568" s="100"/>
      <c r="H1568" s="148"/>
      <c r="I1568" s="100"/>
      <c r="J1568" s="100"/>
      <c r="K1568" s="100"/>
      <c r="L1568" s="100"/>
      <c r="M1568" s="100"/>
    </row>
    <row r="1569" spans="4:13" s="104" customFormat="1">
      <c r="D1569" s="148"/>
      <c r="E1569" s="100"/>
      <c r="F1569" s="100"/>
      <c r="G1569" s="100"/>
      <c r="H1569" s="148"/>
      <c r="I1569" s="100"/>
      <c r="J1569" s="100"/>
      <c r="K1569" s="100"/>
      <c r="L1569" s="100"/>
      <c r="M1569" s="100"/>
    </row>
    <row r="1570" spans="4:13" s="104" customFormat="1">
      <c r="D1570" s="148"/>
      <c r="E1570" s="100"/>
      <c r="F1570" s="100"/>
      <c r="G1570" s="100"/>
      <c r="H1570" s="148"/>
      <c r="I1570" s="100"/>
      <c r="J1570" s="100"/>
      <c r="K1570" s="100"/>
      <c r="L1570" s="100"/>
      <c r="M1570" s="100"/>
    </row>
    <row r="1571" spans="4:13" s="104" customFormat="1">
      <c r="D1571" s="148"/>
      <c r="E1571" s="100"/>
      <c r="F1571" s="100"/>
      <c r="G1571" s="100"/>
      <c r="H1571" s="148"/>
      <c r="I1571" s="100"/>
      <c r="J1571" s="100"/>
      <c r="K1571" s="100"/>
      <c r="L1571" s="100"/>
      <c r="M1571" s="100"/>
    </row>
    <row r="1572" spans="4:13" s="104" customFormat="1">
      <c r="D1572" s="148"/>
      <c r="E1572" s="100"/>
      <c r="F1572" s="100"/>
      <c r="G1572" s="100"/>
      <c r="H1572" s="148"/>
      <c r="I1572" s="100"/>
      <c r="J1572" s="100"/>
      <c r="K1572" s="100"/>
      <c r="L1572" s="100"/>
      <c r="M1572" s="100"/>
    </row>
    <row r="1573" spans="4:13" s="104" customFormat="1">
      <c r="D1573" s="148"/>
      <c r="E1573" s="100"/>
      <c r="F1573" s="100"/>
      <c r="G1573" s="100"/>
      <c r="H1573" s="148"/>
      <c r="I1573" s="100"/>
      <c r="J1573" s="100"/>
      <c r="K1573" s="100"/>
      <c r="L1573" s="100"/>
      <c r="M1573" s="100"/>
    </row>
    <row r="1574" spans="4:13" s="104" customFormat="1">
      <c r="D1574" s="148"/>
      <c r="E1574" s="100"/>
      <c r="F1574" s="100"/>
      <c r="G1574" s="100"/>
      <c r="H1574" s="148"/>
      <c r="I1574" s="100"/>
      <c r="J1574" s="100"/>
      <c r="K1574" s="100"/>
      <c r="L1574" s="100"/>
      <c r="M1574" s="100"/>
    </row>
    <row r="1575" spans="4:13" s="104" customFormat="1">
      <c r="D1575" s="148"/>
      <c r="E1575" s="100"/>
      <c r="F1575" s="100"/>
      <c r="G1575" s="100"/>
      <c r="H1575" s="148"/>
      <c r="I1575" s="100"/>
      <c r="J1575" s="100"/>
      <c r="K1575" s="100"/>
      <c r="L1575" s="100"/>
      <c r="M1575" s="100"/>
    </row>
    <row r="1576" spans="4:13" s="104" customFormat="1">
      <c r="D1576" s="148"/>
      <c r="E1576" s="100"/>
      <c r="F1576" s="100"/>
      <c r="G1576" s="100"/>
      <c r="H1576" s="148"/>
      <c r="I1576" s="100"/>
      <c r="J1576" s="100"/>
      <c r="K1576" s="100"/>
      <c r="L1576" s="100"/>
      <c r="M1576" s="100"/>
    </row>
    <row r="1577" spans="4:13" s="104" customFormat="1">
      <c r="D1577" s="148"/>
      <c r="E1577" s="100"/>
      <c r="F1577" s="100"/>
      <c r="G1577" s="100"/>
      <c r="H1577" s="148"/>
      <c r="I1577" s="100"/>
      <c r="J1577" s="100"/>
      <c r="K1577" s="100"/>
      <c r="L1577" s="100"/>
      <c r="M1577" s="100"/>
    </row>
    <row r="1578" spans="4:13" s="104" customFormat="1">
      <c r="D1578" s="148"/>
      <c r="E1578" s="100"/>
      <c r="F1578" s="100"/>
      <c r="G1578" s="100"/>
      <c r="H1578" s="148"/>
      <c r="I1578" s="100"/>
      <c r="J1578" s="100"/>
      <c r="K1578" s="100"/>
      <c r="L1578" s="100"/>
      <c r="M1578" s="100"/>
    </row>
    <row r="1579" spans="4:13" s="104" customFormat="1">
      <c r="D1579" s="148"/>
      <c r="E1579" s="100"/>
      <c r="F1579" s="100"/>
      <c r="G1579" s="100"/>
      <c r="H1579" s="148"/>
      <c r="I1579" s="100"/>
      <c r="J1579" s="100"/>
      <c r="K1579" s="100"/>
      <c r="L1579" s="100"/>
      <c r="M1579" s="100"/>
    </row>
    <row r="1580" spans="4:13" s="104" customFormat="1">
      <c r="D1580" s="148"/>
      <c r="E1580" s="100"/>
      <c r="F1580" s="100"/>
      <c r="G1580" s="100"/>
      <c r="H1580" s="148"/>
      <c r="I1580" s="100"/>
      <c r="J1580" s="100"/>
      <c r="K1580" s="100"/>
      <c r="L1580" s="100"/>
      <c r="M1580" s="100"/>
    </row>
    <row r="1581" spans="4:13" s="104" customFormat="1">
      <c r="D1581" s="148"/>
      <c r="E1581" s="100"/>
      <c r="F1581" s="100"/>
      <c r="G1581" s="100"/>
      <c r="H1581" s="148"/>
      <c r="I1581" s="100"/>
      <c r="J1581" s="100"/>
      <c r="K1581" s="100"/>
      <c r="L1581" s="100"/>
      <c r="M1581" s="100"/>
    </row>
    <row r="1582" spans="4:13" s="104" customFormat="1">
      <c r="D1582" s="148"/>
      <c r="E1582" s="100"/>
      <c r="F1582" s="100"/>
      <c r="G1582" s="100"/>
      <c r="H1582" s="148"/>
      <c r="I1582" s="100"/>
      <c r="J1582" s="100"/>
      <c r="K1582" s="100"/>
      <c r="L1582" s="100"/>
      <c r="M1582" s="100"/>
    </row>
    <row r="1583" spans="4:13" s="104" customFormat="1">
      <c r="D1583" s="148"/>
      <c r="E1583" s="100"/>
      <c r="F1583" s="100"/>
      <c r="G1583" s="100"/>
      <c r="H1583" s="148"/>
      <c r="I1583" s="100"/>
      <c r="J1583" s="100"/>
      <c r="K1583" s="100"/>
      <c r="L1583" s="100"/>
      <c r="M1583" s="100"/>
    </row>
    <row r="1584" spans="4:13" s="104" customFormat="1">
      <c r="D1584" s="148"/>
      <c r="E1584" s="100"/>
      <c r="F1584" s="100"/>
      <c r="G1584" s="100"/>
      <c r="H1584" s="148"/>
      <c r="I1584" s="100"/>
      <c r="J1584" s="100"/>
      <c r="K1584" s="100"/>
      <c r="L1584" s="100"/>
      <c r="M1584" s="100"/>
    </row>
    <row r="1585" spans="4:13" s="104" customFormat="1">
      <c r="D1585" s="148"/>
      <c r="E1585" s="100"/>
      <c r="F1585" s="100"/>
      <c r="G1585" s="100"/>
      <c r="H1585" s="148"/>
      <c r="I1585" s="100"/>
      <c r="J1585" s="100"/>
      <c r="K1585" s="100"/>
      <c r="L1585" s="100"/>
      <c r="M1585" s="100"/>
    </row>
    <row r="1586" spans="4:13" s="104" customFormat="1">
      <c r="D1586" s="148"/>
      <c r="E1586" s="100"/>
      <c r="F1586" s="100"/>
      <c r="G1586" s="100"/>
      <c r="H1586" s="148"/>
      <c r="I1586" s="100"/>
      <c r="J1586" s="100"/>
      <c r="K1586" s="100"/>
      <c r="L1586" s="100"/>
      <c r="M1586" s="100"/>
    </row>
    <row r="1587" spans="4:13" s="104" customFormat="1">
      <c r="D1587" s="148"/>
      <c r="E1587" s="100"/>
      <c r="F1587" s="100"/>
      <c r="G1587" s="100"/>
      <c r="H1587" s="148"/>
      <c r="I1587" s="100"/>
      <c r="J1587" s="100"/>
      <c r="K1587" s="100"/>
      <c r="L1587" s="100"/>
      <c r="M1587" s="100"/>
    </row>
    <row r="1588" spans="4:13" s="104" customFormat="1">
      <c r="D1588" s="148"/>
      <c r="E1588" s="100"/>
      <c r="F1588" s="100"/>
      <c r="G1588" s="100"/>
      <c r="H1588" s="148"/>
      <c r="I1588" s="100"/>
      <c r="J1588" s="100"/>
      <c r="K1588" s="100"/>
      <c r="L1588" s="100"/>
      <c r="M1588" s="100"/>
    </row>
    <row r="1589" spans="4:13" s="104" customFormat="1">
      <c r="D1589" s="148"/>
      <c r="E1589" s="100"/>
      <c r="F1589" s="100"/>
      <c r="G1589" s="100"/>
      <c r="H1589" s="148"/>
      <c r="I1589" s="100"/>
      <c r="J1589" s="100"/>
      <c r="K1589" s="100"/>
      <c r="L1589" s="100"/>
      <c r="M1589" s="100"/>
    </row>
    <row r="1590" spans="4:13" s="104" customFormat="1">
      <c r="D1590" s="148"/>
      <c r="E1590" s="100"/>
      <c r="F1590" s="100"/>
      <c r="G1590" s="100"/>
      <c r="H1590" s="148"/>
      <c r="I1590" s="100"/>
      <c r="J1590" s="100"/>
      <c r="K1590" s="100"/>
      <c r="L1590" s="100"/>
      <c r="M1590" s="100"/>
    </row>
    <row r="1591" spans="4:13" s="104" customFormat="1">
      <c r="D1591" s="148"/>
      <c r="E1591" s="100"/>
      <c r="F1591" s="100"/>
      <c r="G1591" s="100"/>
      <c r="H1591" s="148"/>
      <c r="I1591" s="100"/>
      <c r="J1591" s="100"/>
      <c r="K1591" s="100"/>
      <c r="L1591" s="100"/>
      <c r="M1591" s="100"/>
    </row>
    <row r="1592" spans="4:13" s="104" customFormat="1">
      <c r="D1592" s="148"/>
      <c r="E1592" s="100"/>
      <c r="F1592" s="100"/>
      <c r="G1592" s="100"/>
      <c r="H1592" s="148"/>
      <c r="I1592" s="100"/>
      <c r="J1592" s="100"/>
      <c r="K1592" s="100"/>
      <c r="L1592" s="100"/>
      <c r="M1592" s="100"/>
    </row>
    <row r="1593" spans="4:13" s="104" customFormat="1">
      <c r="D1593" s="148"/>
      <c r="E1593" s="100"/>
      <c r="F1593" s="100"/>
      <c r="G1593" s="100"/>
      <c r="H1593" s="148"/>
      <c r="I1593" s="100"/>
      <c r="J1593" s="100"/>
      <c r="K1593" s="100"/>
      <c r="L1593" s="100"/>
      <c r="M1593" s="100"/>
    </row>
    <row r="1594" spans="4:13" s="104" customFormat="1">
      <c r="D1594" s="148"/>
      <c r="E1594" s="100"/>
      <c r="F1594" s="100"/>
      <c r="G1594" s="100"/>
      <c r="H1594" s="148"/>
      <c r="I1594" s="100"/>
      <c r="J1594" s="100"/>
      <c r="K1594" s="100"/>
      <c r="L1594" s="100"/>
      <c r="M1594" s="100"/>
    </row>
    <row r="1595" spans="4:13" s="104" customFormat="1">
      <c r="D1595" s="148"/>
      <c r="E1595" s="100"/>
      <c r="F1595" s="100"/>
      <c r="G1595" s="100"/>
      <c r="H1595" s="148"/>
      <c r="I1595" s="100"/>
      <c r="J1595" s="100"/>
      <c r="K1595" s="100"/>
      <c r="L1595" s="100"/>
      <c r="M1595" s="100"/>
    </row>
    <row r="1596" spans="4:13" s="104" customFormat="1">
      <c r="D1596" s="148"/>
      <c r="E1596" s="100"/>
      <c r="F1596" s="100"/>
      <c r="G1596" s="100"/>
      <c r="H1596" s="148"/>
      <c r="I1596" s="100"/>
      <c r="J1596" s="100"/>
      <c r="K1596" s="100"/>
      <c r="L1596" s="100"/>
      <c r="M1596" s="100"/>
    </row>
    <row r="1597" spans="4:13" s="104" customFormat="1">
      <c r="D1597" s="148"/>
      <c r="E1597" s="100"/>
      <c r="F1597" s="100"/>
      <c r="G1597" s="100"/>
      <c r="H1597" s="148"/>
      <c r="I1597" s="100"/>
      <c r="J1597" s="100"/>
      <c r="K1597" s="100"/>
      <c r="L1597" s="100"/>
      <c r="M1597" s="100"/>
    </row>
    <row r="1598" spans="4:13" s="104" customFormat="1">
      <c r="D1598" s="148"/>
      <c r="E1598" s="100"/>
      <c r="F1598" s="100"/>
      <c r="G1598" s="100"/>
      <c r="H1598" s="148"/>
      <c r="I1598" s="100"/>
      <c r="J1598" s="100"/>
      <c r="K1598" s="100"/>
      <c r="L1598" s="100"/>
      <c r="M1598" s="100"/>
    </row>
    <row r="1599" spans="4:13" s="104" customFormat="1">
      <c r="D1599" s="148"/>
      <c r="E1599" s="100"/>
      <c r="F1599" s="100"/>
      <c r="G1599" s="100"/>
      <c r="H1599" s="148"/>
      <c r="I1599" s="100"/>
      <c r="J1599" s="100"/>
      <c r="K1599" s="100"/>
      <c r="L1599" s="100"/>
      <c r="M1599" s="100"/>
    </row>
    <row r="1600" spans="4:13" s="104" customFormat="1">
      <c r="D1600" s="148"/>
      <c r="E1600" s="100"/>
      <c r="F1600" s="100"/>
      <c r="G1600" s="100"/>
      <c r="H1600" s="148"/>
      <c r="I1600" s="100"/>
      <c r="J1600" s="100"/>
      <c r="K1600" s="100"/>
      <c r="L1600" s="100"/>
      <c r="M1600" s="100"/>
    </row>
    <row r="1601" spans="4:13" s="104" customFormat="1">
      <c r="D1601" s="148"/>
      <c r="E1601" s="100"/>
      <c r="F1601" s="100"/>
      <c r="G1601" s="100"/>
      <c r="H1601" s="148"/>
      <c r="I1601" s="100"/>
      <c r="J1601" s="100"/>
      <c r="K1601" s="100"/>
      <c r="L1601" s="100"/>
      <c r="M1601" s="100"/>
    </row>
    <row r="1602" spans="4:13" s="104" customFormat="1">
      <c r="D1602" s="148"/>
      <c r="E1602" s="100"/>
      <c r="F1602" s="100"/>
      <c r="G1602" s="100"/>
      <c r="H1602" s="148"/>
      <c r="I1602" s="100"/>
      <c r="J1602" s="100"/>
      <c r="K1602" s="100"/>
      <c r="L1602" s="100"/>
      <c r="M1602" s="100"/>
    </row>
    <row r="1603" spans="4:13" s="104" customFormat="1">
      <c r="D1603" s="148"/>
      <c r="E1603" s="100"/>
      <c r="F1603" s="100"/>
      <c r="G1603" s="100"/>
      <c r="H1603" s="148"/>
      <c r="I1603" s="100"/>
      <c r="J1603" s="100"/>
      <c r="K1603" s="100"/>
      <c r="L1603" s="100"/>
      <c r="M1603" s="100"/>
    </row>
    <row r="1604" spans="4:13" s="104" customFormat="1">
      <c r="D1604" s="148"/>
      <c r="E1604" s="100"/>
      <c r="F1604" s="100"/>
      <c r="G1604" s="100"/>
      <c r="H1604" s="148"/>
      <c r="I1604" s="100"/>
      <c r="J1604" s="100"/>
      <c r="K1604" s="100"/>
      <c r="L1604" s="100"/>
      <c r="M1604" s="100"/>
    </row>
    <row r="1605" spans="4:13" s="104" customFormat="1">
      <c r="D1605" s="148"/>
      <c r="E1605" s="100"/>
      <c r="F1605" s="100"/>
      <c r="G1605" s="100"/>
      <c r="H1605" s="148"/>
      <c r="I1605" s="100"/>
      <c r="J1605" s="100"/>
      <c r="K1605" s="100"/>
      <c r="L1605" s="100"/>
      <c r="M1605" s="100"/>
    </row>
    <row r="1606" spans="4:13" s="104" customFormat="1">
      <c r="D1606" s="148"/>
      <c r="E1606" s="100"/>
      <c r="F1606" s="100"/>
      <c r="G1606" s="100"/>
      <c r="H1606" s="148"/>
      <c r="I1606" s="100"/>
      <c r="J1606" s="100"/>
      <c r="K1606" s="100"/>
      <c r="L1606" s="100"/>
      <c r="M1606" s="100"/>
    </row>
    <row r="1607" spans="4:13" s="104" customFormat="1">
      <c r="D1607" s="148"/>
      <c r="E1607" s="100"/>
      <c r="F1607" s="100"/>
      <c r="G1607" s="100"/>
      <c r="H1607" s="148"/>
      <c r="I1607" s="100"/>
      <c r="J1607" s="100"/>
      <c r="K1607" s="100"/>
      <c r="L1607" s="100"/>
      <c r="M1607" s="100"/>
    </row>
    <row r="1608" spans="4:13" s="104" customFormat="1">
      <c r="D1608" s="148"/>
      <c r="E1608" s="100"/>
      <c r="F1608" s="100"/>
      <c r="G1608" s="100"/>
      <c r="H1608" s="148"/>
      <c r="I1608" s="100"/>
      <c r="J1608" s="100"/>
      <c r="K1608" s="100"/>
      <c r="L1608" s="100"/>
      <c r="M1608" s="100"/>
    </row>
    <row r="1609" spans="4:13" s="104" customFormat="1">
      <c r="D1609" s="148"/>
      <c r="E1609" s="100"/>
      <c r="F1609" s="100"/>
      <c r="G1609" s="100"/>
      <c r="H1609" s="148"/>
      <c r="I1609" s="100"/>
      <c r="J1609" s="100"/>
      <c r="K1609" s="100"/>
      <c r="L1609" s="100"/>
      <c r="M1609" s="100"/>
    </row>
    <row r="1610" spans="4:13" s="104" customFormat="1">
      <c r="D1610" s="148"/>
      <c r="E1610" s="100"/>
      <c r="F1610" s="100"/>
      <c r="G1610" s="100"/>
      <c r="H1610" s="148"/>
      <c r="I1610" s="100"/>
      <c r="J1610" s="100"/>
      <c r="K1610" s="100"/>
      <c r="L1610" s="100"/>
      <c r="M1610" s="100"/>
    </row>
    <row r="1611" spans="4:13" s="104" customFormat="1">
      <c r="D1611" s="148"/>
      <c r="E1611" s="100"/>
      <c r="F1611" s="100"/>
      <c r="G1611" s="100"/>
      <c r="H1611" s="148"/>
      <c r="I1611" s="100"/>
      <c r="J1611" s="100"/>
      <c r="K1611" s="100"/>
      <c r="L1611" s="100"/>
      <c r="M1611" s="100"/>
    </row>
    <row r="1612" spans="4:13" s="104" customFormat="1">
      <c r="D1612" s="148"/>
      <c r="E1612" s="100"/>
      <c r="F1612" s="100"/>
      <c r="G1612" s="100"/>
      <c r="H1612" s="148"/>
      <c r="I1612" s="100"/>
      <c r="J1612" s="100"/>
      <c r="K1612" s="100"/>
      <c r="L1612" s="100"/>
      <c r="M1612" s="100"/>
    </row>
    <row r="1613" spans="4:13" s="104" customFormat="1">
      <c r="D1613" s="148"/>
      <c r="E1613" s="100"/>
      <c r="F1613" s="100"/>
      <c r="G1613" s="100"/>
      <c r="H1613" s="148"/>
      <c r="I1613" s="100"/>
      <c r="J1613" s="100"/>
      <c r="K1613" s="100"/>
      <c r="L1613" s="100"/>
      <c r="M1613" s="100"/>
    </row>
    <row r="1614" spans="4:13" s="104" customFormat="1">
      <c r="D1614" s="148"/>
      <c r="E1614" s="100"/>
      <c r="F1614" s="100"/>
      <c r="G1614" s="100"/>
      <c r="H1614" s="148"/>
      <c r="I1614" s="100"/>
      <c r="J1614" s="100"/>
      <c r="K1614" s="100"/>
      <c r="L1614" s="100"/>
      <c r="M1614" s="100"/>
    </row>
    <row r="1615" spans="4:13" s="104" customFormat="1">
      <c r="D1615" s="148"/>
      <c r="E1615" s="100"/>
      <c r="F1615" s="100"/>
      <c r="G1615" s="100"/>
      <c r="H1615" s="148"/>
      <c r="I1615" s="100"/>
      <c r="J1615" s="100"/>
      <c r="K1615" s="100"/>
      <c r="L1615" s="100"/>
      <c r="M1615" s="100"/>
    </row>
    <row r="1616" spans="4:13" s="104" customFormat="1">
      <c r="D1616" s="148"/>
      <c r="E1616" s="100"/>
      <c r="F1616" s="100"/>
      <c r="G1616" s="100"/>
      <c r="H1616" s="148"/>
      <c r="I1616" s="100"/>
      <c r="J1616" s="100"/>
      <c r="K1616" s="100"/>
      <c r="L1616" s="100"/>
      <c r="M1616" s="100"/>
    </row>
    <row r="1617" spans="4:13" s="104" customFormat="1">
      <c r="D1617" s="148"/>
      <c r="E1617" s="100"/>
      <c r="F1617" s="100"/>
      <c r="G1617" s="100"/>
      <c r="H1617" s="148"/>
      <c r="I1617" s="100"/>
      <c r="J1617" s="100"/>
      <c r="K1617" s="100"/>
      <c r="L1617" s="100"/>
      <c r="M1617" s="100"/>
    </row>
    <row r="1618" spans="4:13" s="104" customFormat="1">
      <c r="D1618" s="148"/>
      <c r="E1618" s="100"/>
      <c r="F1618" s="100"/>
      <c r="G1618" s="100"/>
      <c r="H1618" s="148"/>
      <c r="I1618" s="100"/>
      <c r="J1618" s="100"/>
      <c r="K1618" s="100"/>
      <c r="L1618" s="100"/>
      <c r="M1618" s="100"/>
    </row>
    <row r="1619" spans="4:13" s="104" customFormat="1">
      <c r="D1619" s="148"/>
      <c r="E1619" s="100"/>
      <c r="F1619" s="100"/>
      <c r="G1619" s="100"/>
      <c r="H1619" s="148"/>
      <c r="I1619" s="100"/>
      <c r="J1619" s="100"/>
      <c r="K1619" s="100"/>
      <c r="L1619" s="100"/>
      <c r="M1619" s="100"/>
    </row>
    <row r="1620" spans="4:13" s="104" customFormat="1">
      <c r="D1620" s="148"/>
      <c r="E1620" s="100"/>
      <c r="F1620" s="100"/>
      <c r="G1620" s="100"/>
      <c r="H1620" s="148"/>
      <c r="I1620" s="100"/>
      <c r="J1620" s="100"/>
      <c r="K1620" s="100"/>
      <c r="L1620" s="100"/>
      <c r="M1620" s="100"/>
    </row>
    <row r="1621" spans="4:13" s="104" customFormat="1">
      <c r="D1621" s="148"/>
      <c r="E1621" s="100"/>
      <c r="F1621" s="100"/>
      <c r="G1621" s="100"/>
      <c r="H1621" s="148"/>
      <c r="I1621" s="100"/>
      <c r="J1621" s="100"/>
      <c r="K1621" s="100"/>
      <c r="L1621" s="100"/>
      <c r="M1621" s="100"/>
    </row>
    <row r="1622" spans="4:13" s="104" customFormat="1">
      <c r="D1622" s="148"/>
      <c r="E1622" s="100"/>
      <c r="F1622" s="100"/>
      <c r="G1622" s="100"/>
      <c r="H1622" s="148"/>
      <c r="I1622" s="100"/>
      <c r="J1622" s="100"/>
      <c r="K1622" s="100"/>
      <c r="L1622" s="100"/>
      <c r="M1622" s="100"/>
    </row>
    <row r="1623" spans="4:13" s="104" customFormat="1">
      <c r="D1623" s="148"/>
      <c r="E1623" s="100"/>
      <c r="F1623" s="100"/>
      <c r="G1623" s="100"/>
      <c r="H1623" s="148"/>
      <c r="I1623" s="100"/>
      <c r="J1623" s="100"/>
      <c r="K1623" s="100"/>
      <c r="L1623" s="100"/>
      <c r="M1623" s="100"/>
    </row>
    <row r="1624" spans="4:13" s="104" customFormat="1">
      <c r="D1624" s="148"/>
      <c r="E1624" s="100"/>
      <c r="F1624" s="100"/>
      <c r="G1624" s="100"/>
      <c r="H1624" s="148"/>
      <c r="I1624" s="100"/>
      <c r="J1624" s="100"/>
      <c r="K1624" s="100"/>
      <c r="L1624" s="100"/>
      <c r="M1624" s="100"/>
    </row>
    <row r="1625" spans="4:13" s="104" customFormat="1">
      <c r="D1625" s="148"/>
      <c r="E1625" s="100"/>
      <c r="F1625" s="100"/>
      <c r="G1625" s="100"/>
      <c r="H1625" s="148"/>
      <c r="I1625" s="100"/>
      <c r="J1625" s="100"/>
      <c r="K1625" s="100"/>
      <c r="L1625" s="100"/>
      <c r="M1625" s="100"/>
    </row>
    <row r="1626" spans="4:13" s="104" customFormat="1">
      <c r="D1626" s="148"/>
      <c r="E1626" s="100"/>
      <c r="F1626" s="100"/>
      <c r="G1626" s="100"/>
      <c r="H1626" s="148"/>
      <c r="I1626" s="100"/>
      <c r="J1626" s="100"/>
      <c r="K1626" s="100"/>
      <c r="L1626" s="100"/>
      <c r="M1626" s="100"/>
    </row>
    <row r="1627" spans="4:13" s="104" customFormat="1">
      <c r="D1627" s="148"/>
      <c r="E1627" s="100"/>
      <c r="F1627" s="100"/>
      <c r="G1627" s="100"/>
      <c r="H1627" s="148"/>
      <c r="I1627" s="100"/>
      <c r="J1627" s="100"/>
      <c r="K1627" s="100"/>
      <c r="L1627" s="100"/>
      <c r="M1627" s="100"/>
    </row>
    <row r="1628" spans="4:13" s="104" customFormat="1">
      <c r="D1628" s="148"/>
      <c r="E1628" s="100"/>
      <c r="F1628" s="100"/>
      <c r="G1628" s="100"/>
      <c r="H1628" s="148"/>
      <c r="I1628" s="100"/>
      <c r="J1628" s="100"/>
      <c r="K1628" s="100"/>
      <c r="L1628" s="100"/>
      <c r="M1628" s="100"/>
    </row>
    <row r="1629" spans="4:13" s="104" customFormat="1">
      <c r="D1629" s="148"/>
      <c r="E1629" s="100"/>
      <c r="F1629" s="100"/>
      <c r="G1629" s="100"/>
      <c r="H1629" s="148"/>
      <c r="I1629" s="100"/>
      <c r="J1629" s="100"/>
      <c r="K1629" s="100"/>
      <c r="L1629" s="100"/>
      <c r="M1629" s="100"/>
    </row>
    <row r="1630" spans="4:13" s="104" customFormat="1">
      <c r="D1630" s="148"/>
      <c r="E1630" s="100"/>
      <c r="F1630" s="100"/>
      <c r="G1630" s="100"/>
      <c r="H1630" s="148"/>
      <c r="I1630" s="100"/>
      <c r="J1630" s="100"/>
      <c r="K1630" s="100"/>
      <c r="L1630" s="100"/>
      <c r="M1630" s="100"/>
    </row>
    <row r="1631" spans="4:13" s="104" customFormat="1">
      <c r="D1631" s="148"/>
      <c r="E1631" s="100"/>
      <c r="F1631" s="100"/>
      <c r="G1631" s="100"/>
      <c r="H1631" s="148"/>
      <c r="I1631" s="100"/>
      <c r="J1631" s="100"/>
      <c r="K1631" s="100"/>
      <c r="L1631" s="100"/>
      <c r="M1631" s="100"/>
    </row>
    <row r="1632" spans="4:13" s="104" customFormat="1">
      <c r="D1632" s="148"/>
      <c r="E1632" s="100"/>
      <c r="F1632" s="100"/>
      <c r="G1632" s="100"/>
      <c r="H1632" s="148"/>
      <c r="I1632" s="100"/>
      <c r="J1632" s="100"/>
      <c r="K1632" s="100"/>
      <c r="L1632" s="100"/>
      <c r="M1632" s="100"/>
    </row>
    <row r="1633" spans="4:13" s="104" customFormat="1">
      <c r="D1633" s="148"/>
      <c r="E1633" s="100"/>
      <c r="F1633" s="100"/>
      <c r="G1633" s="100"/>
      <c r="H1633" s="148"/>
      <c r="I1633" s="100"/>
      <c r="J1633" s="100"/>
      <c r="K1633" s="100"/>
      <c r="L1633" s="100"/>
      <c r="M1633" s="100"/>
    </row>
    <row r="1634" spans="4:13" s="104" customFormat="1">
      <c r="D1634" s="148"/>
      <c r="E1634" s="100"/>
      <c r="F1634" s="100"/>
      <c r="G1634" s="100"/>
      <c r="H1634" s="148"/>
      <c r="I1634" s="100"/>
      <c r="J1634" s="100"/>
      <c r="K1634" s="100"/>
      <c r="L1634" s="100"/>
      <c r="M1634" s="100"/>
    </row>
    <row r="1635" spans="4:13" s="104" customFormat="1">
      <c r="D1635" s="148"/>
      <c r="E1635" s="100"/>
      <c r="F1635" s="100"/>
      <c r="G1635" s="100"/>
      <c r="H1635" s="148"/>
      <c r="I1635" s="100"/>
      <c r="J1635" s="100"/>
      <c r="K1635" s="100"/>
      <c r="L1635" s="100"/>
      <c r="M1635" s="100"/>
    </row>
    <row r="1636" spans="4:13" s="104" customFormat="1">
      <c r="D1636" s="148"/>
      <c r="E1636" s="100"/>
      <c r="F1636" s="100"/>
      <c r="G1636" s="100"/>
      <c r="H1636" s="148"/>
      <c r="I1636" s="100"/>
      <c r="J1636" s="100"/>
      <c r="K1636" s="100"/>
      <c r="L1636" s="100"/>
      <c r="M1636" s="100"/>
    </row>
    <row r="1637" spans="4:13" s="104" customFormat="1">
      <c r="D1637" s="148"/>
      <c r="E1637" s="100"/>
      <c r="F1637" s="100"/>
      <c r="G1637" s="100"/>
      <c r="H1637" s="148"/>
      <c r="I1637" s="100"/>
      <c r="J1637" s="100"/>
      <c r="K1637" s="100"/>
      <c r="L1637" s="100"/>
      <c r="M1637" s="100"/>
    </row>
    <row r="1638" spans="4:13" s="104" customFormat="1">
      <c r="D1638" s="148"/>
      <c r="E1638" s="100"/>
      <c r="F1638" s="100"/>
      <c r="G1638" s="100"/>
      <c r="H1638" s="148"/>
      <c r="I1638" s="100"/>
      <c r="J1638" s="100"/>
      <c r="K1638" s="100"/>
      <c r="L1638" s="100"/>
      <c r="M1638" s="100"/>
    </row>
    <row r="1639" spans="4:13" s="104" customFormat="1">
      <c r="D1639" s="148"/>
      <c r="E1639" s="100"/>
      <c r="F1639" s="100"/>
      <c r="G1639" s="100"/>
      <c r="H1639" s="148"/>
      <c r="I1639" s="100"/>
      <c r="J1639" s="100"/>
      <c r="K1639" s="100"/>
      <c r="L1639" s="100"/>
      <c r="M1639" s="100"/>
    </row>
    <row r="1640" spans="4:13" s="104" customFormat="1">
      <c r="D1640" s="148"/>
      <c r="E1640" s="100"/>
      <c r="F1640" s="100"/>
      <c r="G1640" s="100"/>
      <c r="H1640" s="148"/>
      <c r="I1640" s="100"/>
      <c r="J1640" s="100"/>
      <c r="K1640" s="100"/>
      <c r="L1640" s="100"/>
      <c r="M1640" s="100"/>
    </row>
    <row r="1641" spans="4:13" s="104" customFormat="1">
      <c r="D1641" s="148"/>
      <c r="E1641" s="100"/>
      <c r="F1641" s="100"/>
      <c r="G1641" s="100"/>
      <c r="H1641" s="148"/>
      <c r="I1641" s="100"/>
      <c r="J1641" s="100"/>
      <c r="K1641" s="100"/>
      <c r="L1641" s="100"/>
      <c r="M1641" s="100"/>
    </row>
    <row r="1642" spans="4:13" s="104" customFormat="1">
      <c r="D1642" s="148"/>
      <c r="E1642" s="100"/>
      <c r="F1642" s="100"/>
      <c r="G1642" s="100"/>
      <c r="H1642" s="148"/>
      <c r="I1642" s="100"/>
      <c r="J1642" s="100"/>
      <c r="K1642" s="100"/>
      <c r="L1642" s="100"/>
      <c r="M1642" s="100"/>
    </row>
    <row r="1643" spans="4:13" s="104" customFormat="1">
      <c r="D1643" s="148"/>
      <c r="E1643" s="100"/>
      <c r="F1643" s="100"/>
      <c r="G1643" s="100"/>
      <c r="H1643" s="148"/>
      <c r="I1643" s="100"/>
      <c r="J1643" s="100"/>
      <c r="K1643" s="100"/>
      <c r="L1643" s="100"/>
      <c r="M1643" s="100"/>
    </row>
    <row r="1644" spans="4:13" s="104" customFormat="1">
      <c r="D1644" s="148"/>
      <c r="E1644" s="100"/>
      <c r="F1644" s="100"/>
      <c r="G1644" s="100"/>
      <c r="H1644" s="148"/>
      <c r="I1644" s="100"/>
      <c r="J1644" s="100"/>
      <c r="K1644" s="100"/>
      <c r="L1644" s="100"/>
      <c r="M1644" s="100"/>
    </row>
    <row r="1645" spans="4:13" s="104" customFormat="1">
      <c r="D1645" s="148"/>
      <c r="E1645" s="100"/>
      <c r="F1645" s="100"/>
      <c r="G1645" s="100"/>
      <c r="H1645" s="148"/>
      <c r="I1645" s="100"/>
      <c r="J1645" s="100"/>
      <c r="K1645" s="100"/>
      <c r="L1645" s="100"/>
      <c r="M1645" s="100"/>
    </row>
    <row r="1646" spans="4:13" s="104" customFormat="1">
      <c r="D1646" s="148"/>
      <c r="E1646" s="100"/>
      <c r="F1646" s="100"/>
      <c r="G1646" s="100"/>
      <c r="H1646" s="148"/>
      <c r="I1646" s="100"/>
      <c r="J1646" s="100"/>
      <c r="K1646" s="100"/>
      <c r="L1646" s="100"/>
      <c r="M1646" s="100"/>
    </row>
    <row r="1647" spans="4:13" s="104" customFormat="1">
      <c r="D1647" s="148"/>
      <c r="E1647" s="100"/>
      <c r="F1647" s="100"/>
      <c r="G1647" s="100"/>
      <c r="H1647" s="148"/>
      <c r="I1647" s="100"/>
      <c r="J1647" s="100"/>
      <c r="K1647" s="100"/>
      <c r="L1647" s="100"/>
      <c r="M1647" s="100"/>
    </row>
    <row r="1648" spans="4:13" s="104" customFormat="1">
      <c r="D1648" s="148"/>
      <c r="E1648" s="100"/>
      <c r="F1648" s="100"/>
      <c r="G1648" s="100"/>
      <c r="H1648" s="148"/>
      <c r="I1648" s="100"/>
      <c r="J1648" s="100"/>
      <c r="K1648" s="100"/>
      <c r="L1648" s="100"/>
      <c r="M1648" s="100"/>
    </row>
    <row r="1649" spans="4:13" s="104" customFormat="1">
      <c r="D1649" s="148"/>
      <c r="E1649" s="100"/>
      <c r="F1649" s="100"/>
      <c r="G1649" s="100"/>
      <c r="H1649" s="148"/>
      <c r="I1649" s="100"/>
      <c r="J1649" s="100"/>
      <c r="K1649" s="100"/>
      <c r="L1649" s="100"/>
      <c r="M1649" s="100"/>
    </row>
    <row r="1650" spans="4:13" s="104" customFormat="1">
      <c r="D1650" s="148"/>
      <c r="E1650" s="100"/>
      <c r="F1650" s="100"/>
      <c r="G1650" s="100"/>
      <c r="H1650" s="148"/>
      <c r="I1650" s="100"/>
      <c r="J1650" s="100"/>
      <c r="K1650" s="100"/>
      <c r="L1650" s="100"/>
      <c r="M1650" s="100"/>
    </row>
    <row r="1651" spans="4:13" s="104" customFormat="1">
      <c r="D1651" s="148"/>
      <c r="E1651" s="100"/>
      <c r="F1651" s="100"/>
      <c r="G1651" s="100"/>
      <c r="H1651" s="148"/>
      <c r="I1651" s="100"/>
      <c r="J1651" s="100"/>
      <c r="K1651" s="100"/>
      <c r="L1651" s="100"/>
      <c r="M1651" s="100"/>
    </row>
    <row r="1652" spans="4:13" s="104" customFormat="1">
      <c r="D1652" s="148"/>
      <c r="E1652" s="100"/>
      <c r="F1652" s="100"/>
      <c r="G1652" s="100"/>
      <c r="H1652" s="148"/>
      <c r="I1652" s="100"/>
      <c r="J1652" s="100"/>
      <c r="K1652" s="100"/>
      <c r="L1652" s="100"/>
      <c r="M1652" s="100"/>
    </row>
    <row r="1653" spans="4:13" s="104" customFormat="1">
      <c r="D1653" s="148"/>
      <c r="E1653" s="100"/>
      <c r="F1653" s="100"/>
      <c r="G1653" s="100"/>
      <c r="H1653" s="148"/>
      <c r="I1653" s="100"/>
      <c r="J1653" s="100"/>
      <c r="K1653" s="100"/>
      <c r="L1653" s="100"/>
      <c r="M1653" s="100"/>
    </row>
    <row r="1654" spans="4:13" s="104" customFormat="1">
      <c r="D1654" s="148"/>
      <c r="E1654" s="100"/>
      <c r="F1654" s="100"/>
      <c r="G1654" s="100"/>
      <c r="H1654" s="148"/>
      <c r="I1654" s="100"/>
      <c r="J1654" s="100"/>
      <c r="K1654" s="100"/>
      <c r="L1654" s="100"/>
      <c r="M1654" s="100"/>
    </row>
    <row r="1655" spans="4:13" s="104" customFormat="1">
      <c r="D1655" s="148"/>
      <c r="E1655" s="100"/>
      <c r="F1655" s="100"/>
      <c r="G1655" s="100"/>
      <c r="H1655" s="148"/>
      <c r="I1655" s="100"/>
      <c r="J1655" s="100"/>
      <c r="K1655" s="100"/>
      <c r="L1655" s="100"/>
      <c r="M1655" s="100"/>
    </row>
    <row r="1656" spans="4:13" s="104" customFormat="1">
      <c r="D1656" s="148"/>
      <c r="E1656" s="100"/>
      <c r="F1656" s="100"/>
      <c r="G1656" s="100"/>
      <c r="H1656" s="148"/>
      <c r="I1656" s="100"/>
      <c r="J1656" s="100"/>
      <c r="K1656" s="100"/>
      <c r="L1656" s="100"/>
      <c r="M1656" s="100"/>
    </row>
    <row r="1657" spans="4:13" s="104" customFormat="1">
      <c r="D1657" s="148"/>
      <c r="E1657" s="100"/>
      <c r="F1657" s="100"/>
      <c r="G1657" s="100"/>
      <c r="H1657" s="148"/>
      <c r="I1657" s="100"/>
      <c r="J1657" s="100"/>
      <c r="K1657" s="100"/>
      <c r="L1657" s="100"/>
      <c r="M1657" s="100"/>
    </row>
    <row r="1658" spans="4:13" s="104" customFormat="1">
      <c r="D1658" s="148"/>
      <c r="E1658" s="100"/>
      <c r="F1658" s="100"/>
      <c r="G1658" s="100"/>
      <c r="H1658" s="148"/>
      <c r="I1658" s="100"/>
      <c r="J1658" s="100"/>
      <c r="K1658" s="100"/>
      <c r="L1658" s="100"/>
      <c r="M1658" s="100"/>
    </row>
    <row r="1659" spans="4:13" s="104" customFormat="1">
      <c r="D1659" s="148"/>
      <c r="E1659" s="100"/>
      <c r="F1659" s="100"/>
      <c r="G1659" s="100"/>
      <c r="H1659" s="148"/>
      <c r="I1659" s="100"/>
      <c r="J1659" s="100"/>
      <c r="K1659" s="100"/>
      <c r="L1659" s="100"/>
      <c r="M1659" s="100"/>
    </row>
    <row r="1660" spans="4:13" s="104" customFormat="1">
      <c r="D1660" s="148"/>
      <c r="E1660" s="100"/>
      <c r="F1660" s="100"/>
      <c r="G1660" s="100"/>
      <c r="H1660" s="148"/>
      <c r="I1660" s="100"/>
      <c r="J1660" s="100"/>
      <c r="K1660" s="100"/>
      <c r="L1660" s="100"/>
      <c r="M1660" s="100"/>
    </row>
    <row r="1661" spans="4:13" s="104" customFormat="1">
      <c r="D1661" s="148"/>
      <c r="E1661" s="100"/>
      <c r="F1661" s="100"/>
      <c r="G1661" s="100"/>
      <c r="H1661" s="148"/>
      <c r="I1661" s="100"/>
      <c r="J1661" s="100"/>
      <c r="K1661" s="100"/>
      <c r="L1661" s="100"/>
      <c r="M1661" s="100"/>
    </row>
    <row r="1662" spans="4:13" s="104" customFormat="1">
      <c r="D1662" s="148"/>
      <c r="E1662" s="100"/>
      <c r="F1662" s="100"/>
      <c r="G1662" s="100"/>
      <c r="H1662" s="148"/>
      <c r="I1662" s="100"/>
      <c r="J1662" s="100"/>
      <c r="K1662" s="100"/>
      <c r="L1662" s="100"/>
      <c r="M1662" s="100"/>
    </row>
    <row r="1663" spans="4:13" s="104" customFormat="1">
      <c r="D1663" s="148"/>
      <c r="E1663" s="100"/>
      <c r="F1663" s="100"/>
      <c r="G1663" s="100"/>
      <c r="H1663" s="148"/>
      <c r="I1663" s="100"/>
      <c r="J1663" s="100"/>
      <c r="K1663" s="100"/>
      <c r="L1663" s="100"/>
      <c r="M1663" s="100"/>
    </row>
    <row r="1664" spans="4:13" s="104" customFormat="1">
      <c r="D1664" s="148"/>
      <c r="E1664" s="100"/>
      <c r="F1664" s="100"/>
      <c r="G1664" s="100"/>
      <c r="H1664" s="148"/>
      <c r="I1664" s="100"/>
      <c r="J1664" s="100"/>
      <c r="K1664" s="100"/>
      <c r="L1664" s="100"/>
      <c r="M1664" s="100"/>
    </row>
    <row r="1665" spans="4:13" s="104" customFormat="1">
      <c r="D1665" s="148"/>
      <c r="E1665" s="100"/>
      <c r="F1665" s="100"/>
      <c r="G1665" s="100"/>
      <c r="H1665" s="148"/>
      <c r="I1665" s="100"/>
      <c r="J1665" s="100"/>
      <c r="K1665" s="100"/>
      <c r="L1665" s="100"/>
      <c r="M1665" s="100"/>
    </row>
    <row r="1666" spans="4:13" s="104" customFormat="1">
      <c r="D1666" s="148"/>
      <c r="E1666" s="100"/>
      <c r="F1666" s="100"/>
      <c r="G1666" s="100"/>
      <c r="H1666" s="148"/>
      <c r="I1666" s="100"/>
      <c r="J1666" s="100"/>
      <c r="K1666" s="100"/>
      <c r="L1666" s="100"/>
      <c r="M1666" s="100"/>
    </row>
    <row r="1667" spans="4:13" s="104" customFormat="1">
      <c r="D1667" s="148"/>
      <c r="E1667" s="100"/>
      <c r="F1667" s="100"/>
      <c r="G1667" s="100"/>
      <c r="H1667" s="148"/>
      <c r="I1667" s="100"/>
      <c r="J1667" s="100"/>
      <c r="K1667" s="100"/>
      <c r="L1667" s="100"/>
      <c r="M1667" s="100"/>
    </row>
    <row r="1668" spans="4:13" s="104" customFormat="1">
      <c r="D1668" s="148"/>
      <c r="E1668" s="100"/>
      <c r="F1668" s="100"/>
      <c r="G1668" s="100"/>
      <c r="H1668" s="148"/>
      <c r="I1668" s="100"/>
      <c r="J1668" s="100"/>
      <c r="K1668" s="100"/>
      <c r="L1668" s="100"/>
      <c r="M1668" s="100"/>
    </row>
    <row r="1669" spans="4:13" s="104" customFormat="1">
      <c r="D1669" s="148"/>
      <c r="E1669" s="100"/>
      <c r="F1669" s="100"/>
      <c r="G1669" s="100"/>
      <c r="H1669" s="148"/>
      <c r="I1669" s="100"/>
      <c r="J1669" s="100"/>
      <c r="K1669" s="100"/>
      <c r="L1669" s="100"/>
      <c r="M1669" s="100"/>
    </row>
    <row r="1670" spans="4:13" s="104" customFormat="1">
      <c r="D1670" s="148"/>
      <c r="E1670" s="100"/>
      <c r="F1670" s="100"/>
      <c r="G1670" s="100"/>
      <c r="H1670" s="148"/>
      <c r="I1670" s="100"/>
      <c r="J1670" s="100"/>
      <c r="K1670" s="100"/>
      <c r="L1670" s="100"/>
      <c r="M1670" s="100"/>
    </row>
    <row r="1671" spans="4:13" s="104" customFormat="1">
      <c r="D1671" s="148"/>
      <c r="E1671" s="100"/>
      <c r="F1671" s="100"/>
      <c r="G1671" s="100"/>
      <c r="H1671" s="148"/>
      <c r="I1671" s="100"/>
      <c r="J1671" s="100"/>
      <c r="K1671" s="100"/>
      <c r="L1671" s="100"/>
      <c r="M1671" s="100"/>
    </row>
    <row r="1672" spans="4:13" s="104" customFormat="1">
      <c r="D1672" s="148"/>
      <c r="E1672" s="100"/>
      <c r="F1672" s="100"/>
      <c r="G1672" s="100"/>
      <c r="H1672" s="148"/>
      <c r="I1672" s="100"/>
      <c r="J1672" s="100"/>
      <c r="K1672" s="100"/>
      <c r="L1672" s="100"/>
      <c r="M1672" s="100"/>
    </row>
    <row r="1673" spans="4:13" s="104" customFormat="1">
      <c r="D1673" s="148"/>
      <c r="E1673" s="100"/>
      <c r="F1673" s="100"/>
      <c r="G1673" s="100"/>
      <c r="H1673" s="148"/>
      <c r="I1673" s="100"/>
      <c r="J1673" s="100"/>
      <c r="K1673" s="100"/>
      <c r="L1673" s="100"/>
      <c r="M1673" s="100"/>
    </row>
    <row r="1674" spans="4:13" s="104" customFormat="1">
      <c r="D1674" s="148"/>
      <c r="E1674" s="100"/>
      <c r="F1674" s="100"/>
      <c r="G1674" s="100"/>
      <c r="H1674" s="148"/>
      <c r="I1674" s="100"/>
      <c r="J1674" s="100"/>
      <c r="K1674" s="100"/>
      <c r="L1674" s="100"/>
      <c r="M1674" s="100"/>
    </row>
    <row r="1675" spans="4:13" s="104" customFormat="1">
      <c r="D1675" s="148"/>
      <c r="E1675" s="100"/>
      <c r="F1675" s="100"/>
      <c r="G1675" s="100"/>
      <c r="H1675" s="148"/>
      <c r="I1675" s="100"/>
      <c r="J1675" s="100"/>
      <c r="K1675" s="100"/>
      <c r="L1675" s="100"/>
      <c r="M1675" s="100"/>
    </row>
    <row r="1676" spans="4:13" s="104" customFormat="1">
      <c r="D1676" s="148"/>
      <c r="E1676" s="100"/>
      <c r="F1676" s="100"/>
      <c r="G1676" s="100"/>
      <c r="H1676" s="148"/>
      <c r="I1676" s="100"/>
      <c r="J1676" s="100"/>
      <c r="K1676" s="100"/>
      <c r="L1676" s="100"/>
      <c r="M1676" s="100"/>
    </row>
    <row r="1677" spans="4:13" s="104" customFormat="1">
      <c r="D1677" s="148"/>
      <c r="E1677" s="100"/>
      <c r="F1677" s="100"/>
      <c r="G1677" s="100"/>
      <c r="H1677" s="148"/>
      <c r="I1677" s="100"/>
      <c r="J1677" s="100"/>
      <c r="K1677" s="100"/>
      <c r="L1677" s="100"/>
      <c r="M1677" s="100"/>
    </row>
    <row r="1678" spans="4:13" s="104" customFormat="1">
      <c r="D1678" s="148"/>
      <c r="E1678" s="100"/>
      <c r="F1678" s="100"/>
      <c r="G1678" s="100"/>
      <c r="H1678" s="148"/>
      <c r="I1678" s="100"/>
      <c r="J1678" s="100"/>
      <c r="K1678" s="100"/>
      <c r="L1678" s="100"/>
      <c r="M1678" s="100"/>
    </row>
    <row r="1679" spans="4:13" s="104" customFormat="1">
      <c r="D1679" s="148"/>
      <c r="E1679" s="100"/>
      <c r="F1679" s="100"/>
      <c r="G1679" s="100"/>
      <c r="H1679" s="148"/>
      <c r="I1679" s="100"/>
      <c r="J1679" s="100"/>
      <c r="K1679" s="100"/>
      <c r="L1679" s="100"/>
      <c r="M1679" s="100"/>
    </row>
    <row r="1680" spans="4:13" s="104" customFormat="1">
      <c r="D1680" s="148"/>
      <c r="E1680" s="100"/>
      <c r="F1680" s="100"/>
      <c r="G1680" s="100"/>
      <c r="H1680" s="148"/>
      <c r="I1680" s="100"/>
      <c r="J1680" s="100"/>
      <c r="K1680" s="100"/>
      <c r="L1680" s="100"/>
      <c r="M1680" s="100"/>
    </row>
    <row r="1681" spans="4:13" s="104" customFormat="1">
      <c r="D1681" s="148"/>
      <c r="E1681" s="100"/>
      <c r="F1681" s="100"/>
      <c r="G1681" s="100"/>
      <c r="H1681" s="148"/>
      <c r="I1681" s="100"/>
      <c r="J1681" s="100"/>
      <c r="K1681" s="100"/>
      <c r="L1681" s="100"/>
      <c r="M1681" s="100"/>
    </row>
    <row r="1682" spans="4:13" s="104" customFormat="1">
      <c r="D1682" s="148"/>
      <c r="E1682" s="100"/>
      <c r="F1682" s="100"/>
      <c r="G1682" s="100"/>
      <c r="H1682" s="148"/>
      <c r="I1682" s="100"/>
      <c r="J1682" s="100"/>
      <c r="K1682" s="100"/>
      <c r="L1682" s="100"/>
      <c r="M1682" s="100"/>
    </row>
    <row r="1683" spans="4:13" s="104" customFormat="1">
      <c r="D1683" s="148"/>
      <c r="E1683" s="100"/>
      <c r="F1683" s="100"/>
      <c r="G1683" s="100"/>
      <c r="H1683" s="148"/>
      <c r="I1683" s="100"/>
      <c r="J1683" s="100"/>
      <c r="K1683" s="100"/>
      <c r="L1683" s="100"/>
      <c r="M1683" s="100"/>
    </row>
    <row r="1684" spans="4:13" s="104" customFormat="1">
      <c r="D1684" s="148"/>
      <c r="E1684" s="100"/>
      <c r="F1684" s="100"/>
      <c r="G1684" s="100"/>
      <c r="H1684" s="148"/>
      <c r="I1684" s="100"/>
      <c r="J1684" s="100"/>
      <c r="K1684" s="100"/>
      <c r="L1684" s="100"/>
      <c r="M1684" s="100"/>
    </row>
    <row r="1685" spans="4:13" s="104" customFormat="1">
      <c r="D1685" s="148"/>
      <c r="E1685" s="100"/>
      <c r="F1685" s="100"/>
      <c r="G1685" s="100"/>
      <c r="H1685" s="148"/>
      <c r="I1685" s="100"/>
      <c r="J1685" s="100"/>
      <c r="K1685" s="100"/>
      <c r="L1685" s="100"/>
      <c r="M1685" s="100"/>
    </row>
    <row r="1686" spans="4:13" s="104" customFormat="1">
      <c r="D1686" s="148"/>
      <c r="E1686" s="100"/>
      <c r="F1686" s="100"/>
      <c r="G1686" s="100"/>
      <c r="H1686" s="148"/>
      <c r="I1686" s="100"/>
      <c r="J1686" s="100"/>
      <c r="K1686" s="100"/>
      <c r="L1686" s="100"/>
      <c r="M1686" s="100"/>
    </row>
    <row r="1687" spans="4:13" s="104" customFormat="1">
      <c r="D1687" s="148"/>
      <c r="E1687" s="100"/>
      <c r="F1687" s="100"/>
      <c r="G1687" s="100"/>
      <c r="H1687" s="148"/>
      <c r="I1687" s="100"/>
      <c r="J1687" s="100"/>
      <c r="K1687" s="100"/>
      <c r="L1687" s="100"/>
      <c r="M1687" s="100"/>
    </row>
    <row r="1688" spans="4:13" s="104" customFormat="1">
      <c r="D1688" s="148"/>
      <c r="E1688" s="100"/>
      <c r="F1688" s="100"/>
      <c r="G1688" s="100"/>
      <c r="H1688" s="148"/>
      <c r="I1688" s="100"/>
      <c r="J1688" s="100"/>
      <c r="K1688" s="100"/>
      <c r="L1688" s="100"/>
      <c r="M1688" s="100"/>
    </row>
    <row r="1689" spans="4:13" s="104" customFormat="1">
      <c r="D1689" s="148"/>
      <c r="E1689" s="100"/>
      <c r="F1689" s="100"/>
      <c r="G1689" s="100"/>
      <c r="H1689" s="148"/>
      <c r="I1689" s="100"/>
      <c r="J1689" s="100"/>
      <c r="K1689" s="100"/>
      <c r="L1689" s="100"/>
      <c r="M1689" s="100"/>
    </row>
    <row r="1690" spans="4:13" s="104" customFormat="1">
      <c r="D1690" s="148"/>
      <c r="E1690" s="100"/>
      <c r="F1690" s="100"/>
      <c r="G1690" s="100"/>
      <c r="H1690" s="148"/>
      <c r="I1690" s="100"/>
      <c r="J1690" s="100"/>
      <c r="K1690" s="100"/>
      <c r="L1690" s="100"/>
      <c r="M1690" s="100"/>
    </row>
    <row r="1691" spans="4:13" s="104" customFormat="1">
      <c r="D1691" s="148"/>
      <c r="E1691" s="100"/>
      <c r="F1691" s="100"/>
      <c r="G1691" s="100"/>
      <c r="H1691" s="148"/>
      <c r="I1691" s="100"/>
      <c r="J1691" s="100"/>
      <c r="K1691" s="100"/>
      <c r="L1691" s="100"/>
      <c r="M1691" s="100"/>
    </row>
    <row r="1692" spans="4:13" s="104" customFormat="1">
      <c r="D1692" s="148"/>
      <c r="E1692" s="100"/>
      <c r="F1692" s="100"/>
      <c r="G1692" s="100"/>
      <c r="H1692" s="148"/>
      <c r="I1692" s="100"/>
      <c r="J1692" s="100"/>
      <c r="K1692" s="100"/>
      <c r="L1692" s="100"/>
      <c r="M1692" s="100"/>
    </row>
    <row r="1693" spans="4:13" s="104" customFormat="1">
      <c r="D1693" s="148"/>
      <c r="E1693" s="100"/>
      <c r="F1693" s="100"/>
      <c r="G1693" s="100"/>
      <c r="H1693" s="148"/>
      <c r="I1693" s="100"/>
      <c r="J1693" s="100"/>
      <c r="K1693" s="100"/>
      <c r="L1693" s="100"/>
      <c r="M1693" s="100"/>
    </row>
    <row r="1694" spans="4:13" s="104" customFormat="1">
      <c r="D1694" s="148"/>
      <c r="E1694" s="100"/>
      <c r="F1694" s="100"/>
      <c r="G1694" s="100"/>
      <c r="H1694" s="148"/>
      <c r="I1694" s="100"/>
      <c r="J1694" s="100"/>
      <c r="K1694" s="100"/>
      <c r="L1694" s="100"/>
      <c r="M1694" s="100"/>
    </row>
    <row r="1695" spans="4:13" s="104" customFormat="1">
      <c r="D1695" s="148"/>
      <c r="E1695" s="100"/>
      <c r="F1695" s="100"/>
      <c r="G1695" s="100"/>
      <c r="H1695" s="148"/>
      <c r="I1695" s="100"/>
      <c r="J1695" s="100"/>
      <c r="K1695" s="100"/>
      <c r="L1695" s="100"/>
      <c r="M1695" s="100"/>
    </row>
    <row r="1696" spans="4:13" s="104" customFormat="1">
      <c r="D1696" s="148"/>
      <c r="E1696" s="100"/>
      <c r="F1696" s="100"/>
      <c r="G1696" s="100"/>
      <c r="H1696" s="148"/>
      <c r="I1696" s="100"/>
      <c r="J1696" s="100"/>
      <c r="K1696" s="100"/>
      <c r="L1696" s="100"/>
      <c r="M1696" s="100"/>
    </row>
    <row r="1697" spans="4:13" s="104" customFormat="1">
      <c r="D1697" s="148"/>
      <c r="E1697" s="100"/>
      <c r="F1697" s="100"/>
      <c r="G1697" s="100"/>
      <c r="H1697" s="148"/>
      <c r="I1697" s="100"/>
      <c r="J1697" s="100"/>
      <c r="K1697" s="100"/>
      <c r="L1697" s="100"/>
      <c r="M1697" s="100"/>
    </row>
    <row r="1698" spans="4:13" s="104" customFormat="1">
      <c r="D1698" s="148"/>
      <c r="E1698" s="100"/>
      <c r="F1698" s="100"/>
      <c r="G1698" s="100"/>
      <c r="H1698" s="148"/>
      <c r="I1698" s="100"/>
      <c r="J1698" s="100"/>
      <c r="K1698" s="100"/>
      <c r="L1698" s="100"/>
      <c r="M1698" s="100"/>
    </row>
    <row r="1699" spans="4:13" s="104" customFormat="1">
      <c r="D1699" s="148"/>
      <c r="E1699" s="100"/>
      <c r="F1699" s="100"/>
      <c r="G1699" s="100"/>
      <c r="H1699" s="148"/>
      <c r="I1699" s="100"/>
      <c r="J1699" s="100"/>
      <c r="K1699" s="100"/>
      <c r="L1699" s="100"/>
      <c r="M1699" s="100"/>
    </row>
    <row r="1700" spans="4:13" s="104" customFormat="1">
      <c r="D1700" s="148"/>
      <c r="E1700" s="100"/>
      <c r="F1700" s="100"/>
      <c r="G1700" s="100"/>
      <c r="H1700" s="148"/>
      <c r="I1700" s="100"/>
      <c r="J1700" s="100"/>
      <c r="K1700" s="100"/>
      <c r="L1700" s="100"/>
      <c r="M1700" s="100"/>
    </row>
    <row r="1701" spans="4:13" s="104" customFormat="1">
      <c r="D1701" s="148"/>
      <c r="E1701" s="100"/>
      <c r="F1701" s="100"/>
      <c r="G1701" s="100"/>
      <c r="H1701" s="148"/>
      <c r="I1701" s="100"/>
      <c r="J1701" s="100"/>
      <c r="K1701" s="100"/>
      <c r="L1701" s="100"/>
      <c r="M1701" s="100"/>
    </row>
    <row r="1702" spans="4:13" s="104" customFormat="1">
      <c r="D1702" s="148"/>
      <c r="E1702" s="100"/>
      <c r="F1702" s="100"/>
      <c r="G1702" s="100"/>
      <c r="H1702" s="148"/>
      <c r="I1702" s="100"/>
      <c r="J1702" s="100"/>
      <c r="K1702" s="100"/>
      <c r="L1702" s="100"/>
      <c r="M1702" s="100"/>
    </row>
    <row r="1703" spans="4:13" s="104" customFormat="1">
      <c r="D1703" s="148"/>
      <c r="E1703" s="100"/>
      <c r="F1703" s="100"/>
      <c r="G1703" s="100"/>
      <c r="H1703" s="148"/>
      <c r="I1703" s="100"/>
      <c r="J1703" s="100"/>
      <c r="K1703" s="100"/>
      <c r="L1703" s="100"/>
      <c r="M1703" s="100"/>
    </row>
    <row r="1704" spans="4:13" s="104" customFormat="1">
      <c r="D1704" s="148"/>
      <c r="E1704" s="100"/>
      <c r="F1704" s="100"/>
      <c r="G1704" s="100"/>
      <c r="H1704" s="148"/>
      <c r="I1704" s="100"/>
      <c r="J1704" s="100"/>
      <c r="K1704" s="100"/>
      <c r="L1704" s="100"/>
      <c r="M1704" s="100"/>
    </row>
    <row r="1705" spans="4:13" s="104" customFormat="1">
      <c r="D1705" s="148"/>
      <c r="E1705" s="100"/>
      <c r="F1705" s="100"/>
      <c r="G1705" s="100"/>
      <c r="H1705" s="148"/>
      <c r="I1705" s="100"/>
      <c r="J1705" s="100"/>
      <c r="K1705" s="100"/>
      <c r="L1705" s="100"/>
      <c r="M1705" s="100"/>
    </row>
    <row r="1706" spans="4:13" s="104" customFormat="1">
      <c r="D1706" s="148"/>
      <c r="E1706" s="100"/>
      <c r="F1706" s="100"/>
      <c r="G1706" s="100"/>
      <c r="H1706" s="148"/>
      <c r="I1706" s="100"/>
      <c r="J1706" s="100"/>
      <c r="K1706" s="100"/>
      <c r="L1706" s="100"/>
      <c r="M1706" s="100"/>
    </row>
    <row r="1707" spans="4:13" s="104" customFormat="1">
      <c r="D1707" s="148"/>
      <c r="E1707" s="100"/>
      <c r="F1707" s="100"/>
      <c r="G1707" s="100"/>
      <c r="H1707" s="148"/>
      <c r="I1707" s="100"/>
      <c r="J1707" s="100"/>
      <c r="K1707" s="100"/>
      <c r="L1707" s="100"/>
      <c r="M1707" s="100"/>
    </row>
    <row r="1708" spans="4:13" s="104" customFormat="1">
      <c r="D1708" s="148"/>
      <c r="E1708" s="100"/>
      <c r="F1708" s="100"/>
      <c r="G1708" s="100"/>
      <c r="H1708" s="148"/>
      <c r="I1708" s="100"/>
      <c r="J1708" s="100"/>
      <c r="K1708" s="100"/>
      <c r="L1708" s="100"/>
      <c r="M1708" s="100"/>
    </row>
    <row r="1709" spans="4:13" s="104" customFormat="1">
      <c r="D1709" s="148"/>
      <c r="E1709" s="100"/>
      <c r="F1709" s="100"/>
      <c r="G1709" s="100"/>
      <c r="H1709" s="148"/>
      <c r="I1709" s="100"/>
      <c r="J1709" s="100"/>
      <c r="K1709" s="100"/>
      <c r="L1709" s="100"/>
      <c r="M1709" s="100"/>
    </row>
    <row r="1710" spans="4:13" s="104" customFormat="1">
      <c r="D1710" s="148"/>
      <c r="E1710" s="100"/>
      <c r="F1710" s="100"/>
      <c r="G1710" s="100"/>
      <c r="H1710" s="148"/>
      <c r="I1710" s="100"/>
      <c r="J1710" s="100"/>
      <c r="K1710" s="100"/>
      <c r="L1710" s="100"/>
      <c r="M1710" s="100"/>
    </row>
    <row r="1711" spans="4:13" s="104" customFormat="1">
      <c r="D1711" s="148"/>
      <c r="E1711" s="100"/>
      <c r="F1711" s="100"/>
      <c r="G1711" s="100"/>
      <c r="H1711" s="148"/>
      <c r="I1711" s="100"/>
      <c r="J1711" s="100"/>
      <c r="K1711" s="100"/>
      <c r="L1711" s="100"/>
      <c r="M1711" s="100"/>
    </row>
    <row r="1712" spans="4:13" s="104" customFormat="1">
      <c r="D1712" s="148"/>
      <c r="E1712" s="100"/>
      <c r="F1712" s="100"/>
      <c r="G1712" s="100"/>
      <c r="H1712" s="148"/>
      <c r="I1712" s="100"/>
      <c r="J1712" s="100"/>
      <c r="K1712" s="100"/>
      <c r="L1712" s="100"/>
      <c r="M1712" s="100"/>
    </row>
    <row r="1713" spans="4:13" s="104" customFormat="1">
      <c r="D1713" s="148"/>
      <c r="E1713" s="100"/>
      <c r="F1713" s="100"/>
      <c r="G1713" s="100"/>
      <c r="H1713" s="148"/>
      <c r="I1713" s="100"/>
      <c r="J1713" s="100"/>
      <c r="K1713" s="100"/>
      <c r="L1713" s="100"/>
      <c r="M1713" s="100"/>
    </row>
    <row r="1714" spans="4:13" s="104" customFormat="1">
      <c r="D1714" s="148"/>
      <c r="E1714" s="100"/>
      <c r="F1714" s="100"/>
      <c r="G1714" s="100"/>
      <c r="H1714" s="148"/>
      <c r="I1714" s="100"/>
      <c r="J1714" s="100"/>
      <c r="K1714" s="100"/>
      <c r="L1714" s="100"/>
      <c r="M1714" s="100"/>
    </row>
    <row r="1715" spans="4:13" s="104" customFormat="1">
      <c r="D1715" s="148"/>
      <c r="E1715" s="100"/>
      <c r="F1715" s="100"/>
      <c r="G1715" s="100"/>
      <c r="H1715" s="148"/>
      <c r="I1715" s="100"/>
      <c r="J1715" s="100"/>
      <c r="K1715" s="100"/>
      <c r="L1715" s="100"/>
      <c r="M1715" s="100"/>
    </row>
    <row r="1716" spans="4:13" s="104" customFormat="1">
      <c r="D1716" s="148"/>
      <c r="E1716" s="100"/>
      <c r="F1716" s="100"/>
      <c r="G1716" s="100"/>
      <c r="H1716" s="148"/>
      <c r="I1716" s="100"/>
      <c r="J1716" s="100"/>
      <c r="K1716" s="100"/>
      <c r="L1716" s="100"/>
      <c r="M1716" s="100"/>
    </row>
    <row r="1717" spans="4:13" s="104" customFormat="1">
      <c r="D1717" s="148"/>
      <c r="E1717" s="100"/>
      <c r="F1717" s="100"/>
      <c r="G1717" s="100"/>
      <c r="H1717" s="148"/>
      <c r="I1717" s="100"/>
      <c r="J1717" s="100"/>
      <c r="K1717" s="100"/>
      <c r="L1717" s="100"/>
      <c r="M1717" s="100"/>
    </row>
    <row r="1718" spans="4:13" s="104" customFormat="1">
      <c r="D1718" s="148"/>
      <c r="E1718" s="100"/>
      <c r="F1718" s="100"/>
      <c r="G1718" s="100"/>
      <c r="H1718" s="148"/>
      <c r="I1718" s="100"/>
      <c r="J1718" s="100"/>
      <c r="K1718" s="100"/>
      <c r="L1718" s="100"/>
      <c r="M1718" s="100"/>
    </row>
    <row r="1719" spans="4:13" s="104" customFormat="1">
      <c r="D1719" s="148"/>
      <c r="E1719" s="100"/>
      <c r="F1719" s="100"/>
      <c r="G1719" s="100"/>
      <c r="H1719" s="148"/>
      <c r="I1719" s="100"/>
      <c r="J1719" s="100"/>
      <c r="K1719" s="100"/>
      <c r="L1719" s="100"/>
      <c r="M1719" s="100"/>
    </row>
    <row r="1720" spans="4:13" s="104" customFormat="1">
      <c r="D1720" s="148"/>
      <c r="E1720" s="100"/>
      <c r="F1720" s="100"/>
      <c r="G1720" s="100"/>
      <c r="H1720" s="148"/>
      <c r="I1720" s="100"/>
      <c r="J1720" s="100"/>
      <c r="K1720" s="100"/>
      <c r="L1720" s="100"/>
      <c r="M1720" s="100"/>
    </row>
    <row r="1721" spans="4:13" s="104" customFormat="1">
      <c r="D1721" s="148"/>
      <c r="E1721" s="100"/>
      <c r="F1721" s="100"/>
      <c r="G1721" s="100"/>
      <c r="H1721" s="148"/>
      <c r="I1721" s="100"/>
      <c r="J1721" s="100"/>
      <c r="K1721" s="100"/>
      <c r="L1721" s="100"/>
      <c r="M1721" s="100"/>
    </row>
    <row r="1722" spans="4:13" s="104" customFormat="1">
      <c r="D1722" s="148"/>
      <c r="E1722" s="100"/>
      <c r="F1722" s="100"/>
      <c r="G1722" s="100"/>
      <c r="H1722" s="148"/>
      <c r="I1722" s="100"/>
      <c r="J1722" s="100"/>
      <c r="K1722" s="100"/>
      <c r="L1722" s="100"/>
      <c r="M1722" s="100"/>
    </row>
    <row r="1723" spans="4:13" s="104" customFormat="1">
      <c r="D1723" s="148"/>
      <c r="E1723" s="100"/>
      <c r="F1723" s="100"/>
      <c r="G1723" s="100"/>
      <c r="H1723" s="148"/>
      <c r="I1723" s="100"/>
      <c r="J1723" s="100"/>
      <c r="K1723" s="100"/>
      <c r="L1723" s="100"/>
      <c r="M1723" s="100"/>
    </row>
    <row r="1724" spans="4:13" s="104" customFormat="1">
      <c r="D1724" s="148"/>
      <c r="E1724" s="100"/>
      <c r="F1724" s="100"/>
      <c r="G1724" s="100"/>
      <c r="H1724" s="148"/>
      <c r="I1724" s="100"/>
      <c r="J1724" s="100"/>
      <c r="K1724" s="100"/>
      <c r="L1724" s="100"/>
      <c r="M1724" s="100"/>
    </row>
    <row r="1725" spans="4:13" s="104" customFormat="1">
      <c r="D1725" s="148"/>
      <c r="E1725" s="100"/>
      <c r="F1725" s="100"/>
      <c r="G1725" s="100"/>
      <c r="H1725" s="148"/>
      <c r="I1725" s="100"/>
      <c r="J1725" s="100"/>
      <c r="K1725" s="100"/>
      <c r="L1725" s="100"/>
      <c r="M1725" s="100"/>
    </row>
    <row r="1726" spans="4:13" s="104" customFormat="1">
      <c r="D1726" s="148"/>
      <c r="E1726" s="100"/>
      <c r="F1726" s="100"/>
      <c r="G1726" s="100"/>
      <c r="H1726" s="148"/>
      <c r="I1726" s="100"/>
      <c r="J1726" s="100"/>
      <c r="K1726" s="100"/>
      <c r="L1726" s="100"/>
      <c r="M1726" s="100"/>
    </row>
    <row r="1727" spans="4:13" s="104" customFormat="1">
      <c r="D1727" s="148"/>
      <c r="E1727" s="100"/>
      <c r="F1727" s="100"/>
      <c r="G1727" s="100"/>
      <c r="H1727" s="148"/>
      <c r="I1727" s="100"/>
      <c r="J1727" s="100"/>
      <c r="K1727" s="100"/>
      <c r="L1727" s="100"/>
      <c r="M1727" s="100"/>
    </row>
    <row r="1728" spans="4:13" s="104" customFormat="1">
      <c r="D1728" s="148"/>
      <c r="E1728" s="100"/>
      <c r="F1728" s="100"/>
      <c r="G1728" s="100"/>
      <c r="H1728" s="148"/>
      <c r="I1728" s="100"/>
      <c r="J1728" s="100"/>
      <c r="K1728" s="100"/>
      <c r="L1728" s="100"/>
      <c r="M1728" s="100"/>
    </row>
    <row r="1729" spans="4:13" s="104" customFormat="1">
      <c r="D1729" s="148"/>
      <c r="E1729" s="100"/>
      <c r="F1729" s="100"/>
      <c r="G1729" s="100"/>
      <c r="H1729" s="148"/>
      <c r="I1729" s="100"/>
      <c r="J1729" s="100"/>
      <c r="K1729" s="100"/>
      <c r="L1729" s="100"/>
      <c r="M1729" s="100"/>
    </row>
    <row r="1730" spans="4:13" s="104" customFormat="1">
      <c r="D1730" s="148"/>
      <c r="E1730" s="100"/>
      <c r="F1730" s="100"/>
      <c r="G1730" s="100"/>
      <c r="H1730" s="148"/>
      <c r="I1730" s="100"/>
      <c r="J1730" s="100"/>
      <c r="K1730" s="100"/>
      <c r="L1730" s="100"/>
      <c r="M1730" s="100"/>
    </row>
    <row r="1731" spans="4:13" s="104" customFormat="1">
      <c r="D1731" s="148"/>
      <c r="E1731" s="100"/>
      <c r="F1731" s="100"/>
      <c r="G1731" s="100"/>
      <c r="H1731" s="148"/>
      <c r="I1731" s="100"/>
      <c r="J1731" s="100"/>
      <c r="K1731" s="100"/>
      <c r="L1731" s="100"/>
      <c r="M1731" s="100"/>
    </row>
    <row r="1732" spans="4:13" s="104" customFormat="1">
      <c r="D1732" s="148"/>
      <c r="E1732" s="100"/>
      <c r="F1732" s="100"/>
      <c r="G1732" s="100"/>
      <c r="H1732" s="148"/>
      <c r="I1732" s="100"/>
      <c r="J1732" s="100"/>
      <c r="K1732" s="100"/>
      <c r="L1732" s="100"/>
      <c r="M1732" s="100"/>
    </row>
    <row r="1733" spans="4:13" s="104" customFormat="1">
      <c r="D1733" s="148"/>
      <c r="E1733" s="100"/>
      <c r="F1733" s="100"/>
      <c r="G1733" s="100"/>
      <c r="H1733" s="148"/>
      <c r="I1733" s="100"/>
      <c r="J1733" s="100"/>
      <c r="K1733" s="100"/>
      <c r="L1733" s="100"/>
      <c r="M1733" s="100"/>
    </row>
    <row r="1734" spans="4:13" s="104" customFormat="1">
      <c r="D1734" s="148"/>
      <c r="E1734" s="100"/>
      <c r="F1734" s="100"/>
      <c r="G1734" s="100"/>
      <c r="H1734" s="148"/>
      <c r="I1734" s="100"/>
      <c r="J1734" s="100"/>
      <c r="K1734" s="100"/>
      <c r="L1734" s="100"/>
      <c r="M1734" s="100"/>
    </row>
    <row r="1735" spans="4:13" s="104" customFormat="1">
      <c r="D1735" s="148"/>
      <c r="E1735" s="100"/>
      <c r="F1735" s="100"/>
      <c r="G1735" s="100"/>
      <c r="H1735" s="148"/>
      <c r="I1735" s="100"/>
      <c r="J1735" s="100"/>
      <c r="K1735" s="100"/>
      <c r="L1735" s="100"/>
      <c r="M1735" s="100"/>
    </row>
    <row r="1736" spans="4:13" s="104" customFormat="1">
      <c r="D1736" s="148"/>
      <c r="E1736" s="100"/>
      <c r="F1736" s="100"/>
      <c r="G1736" s="100"/>
      <c r="H1736" s="148"/>
      <c r="I1736" s="100"/>
      <c r="J1736" s="100"/>
      <c r="K1736" s="100"/>
      <c r="L1736" s="100"/>
      <c r="M1736" s="100"/>
    </row>
    <row r="1737" spans="4:13" s="104" customFormat="1">
      <c r="D1737" s="148"/>
      <c r="E1737" s="100"/>
      <c r="F1737" s="100"/>
      <c r="G1737" s="100"/>
      <c r="H1737" s="148"/>
      <c r="I1737" s="100"/>
      <c r="J1737" s="100"/>
      <c r="K1737" s="100"/>
      <c r="L1737" s="100"/>
      <c r="M1737" s="100"/>
    </row>
    <row r="1738" spans="4:13" s="104" customFormat="1">
      <c r="D1738" s="148"/>
      <c r="E1738" s="100"/>
      <c r="F1738" s="100"/>
      <c r="G1738" s="100"/>
      <c r="H1738" s="148"/>
      <c r="I1738" s="100"/>
      <c r="J1738" s="100"/>
      <c r="K1738" s="100"/>
      <c r="L1738" s="100"/>
      <c r="M1738" s="100"/>
    </row>
    <row r="1739" spans="4:13" s="104" customFormat="1">
      <c r="D1739" s="148"/>
      <c r="E1739" s="100"/>
      <c r="F1739" s="100"/>
      <c r="G1739" s="100"/>
      <c r="H1739" s="148"/>
      <c r="I1739" s="100"/>
      <c r="J1739" s="100"/>
      <c r="K1739" s="100"/>
      <c r="L1739" s="100"/>
      <c r="M1739" s="100"/>
    </row>
    <row r="1740" spans="4:13" s="104" customFormat="1">
      <c r="D1740" s="148"/>
      <c r="E1740" s="100"/>
      <c r="F1740" s="100"/>
      <c r="G1740" s="100"/>
      <c r="H1740" s="148"/>
      <c r="I1740" s="100"/>
      <c r="J1740" s="100"/>
      <c r="K1740" s="100"/>
      <c r="L1740" s="100"/>
      <c r="M1740" s="100"/>
    </row>
    <row r="1741" spans="4:13" s="104" customFormat="1">
      <c r="D1741" s="148"/>
      <c r="E1741" s="100"/>
      <c r="F1741" s="100"/>
      <c r="G1741" s="100"/>
      <c r="H1741" s="148"/>
      <c r="I1741" s="100"/>
      <c r="J1741" s="100"/>
      <c r="K1741" s="100"/>
      <c r="L1741" s="100"/>
      <c r="M1741" s="100"/>
    </row>
    <row r="1742" spans="4:13" s="104" customFormat="1">
      <c r="D1742" s="148"/>
      <c r="E1742" s="100"/>
      <c r="F1742" s="100"/>
      <c r="G1742" s="100"/>
      <c r="H1742" s="148"/>
      <c r="I1742" s="100"/>
      <c r="J1742" s="100"/>
      <c r="K1742" s="100"/>
      <c r="L1742" s="100"/>
      <c r="M1742" s="100"/>
    </row>
    <row r="1743" spans="4:13" s="104" customFormat="1">
      <c r="D1743" s="148"/>
      <c r="E1743" s="100"/>
      <c r="F1743" s="100"/>
      <c r="G1743" s="100"/>
      <c r="H1743" s="148"/>
      <c r="I1743" s="100"/>
      <c r="J1743" s="100"/>
      <c r="K1743" s="100"/>
      <c r="L1743" s="100"/>
      <c r="M1743" s="100"/>
    </row>
    <row r="1744" spans="4:13" s="104" customFormat="1">
      <c r="D1744" s="148"/>
      <c r="E1744" s="100"/>
      <c r="F1744" s="100"/>
      <c r="G1744" s="100"/>
      <c r="H1744" s="148"/>
      <c r="I1744" s="100"/>
      <c r="J1744" s="100"/>
      <c r="K1744" s="100"/>
      <c r="L1744" s="100"/>
      <c r="M1744" s="100"/>
    </row>
    <row r="1745" spans="4:13" s="104" customFormat="1">
      <c r="D1745" s="148"/>
      <c r="E1745" s="100"/>
      <c r="F1745" s="100"/>
      <c r="G1745" s="100"/>
      <c r="H1745" s="148"/>
      <c r="I1745" s="100"/>
      <c r="J1745" s="100"/>
      <c r="K1745" s="100"/>
      <c r="L1745" s="100"/>
      <c r="M1745" s="100"/>
    </row>
    <row r="1746" spans="4:13" s="104" customFormat="1">
      <c r="D1746" s="148"/>
      <c r="E1746" s="100"/>
      <c r="F1746" s="100"/>
      <c r="G1746" s="100"/>
      <c r="H1746" s="148"/>
      <c r="I1746" s="100"/>
      <c r="J1746" s="100"/>
      <c r="K1746" s="100"/>
      <c r="L1746" s="100"/>
      <c r="M1746" s="100"/>
    </row>
    <row r="1747" spans="4:13" s="104" customFormat="1">
      <c r="D1747" s="148"/>
      <c r="E1747" s="100"/>
      <c r="F1747" s="100"/>
      <c r="G1747" s="100"/>
      <c r="H1747" s="148"/>
      <c r="I1747" s="100"/>
      <c r="J1747" s="100"/>
      <c r="K1747" s="100"/>
      <c r="L1747" s="100"/>
      <c r="M1747" s="100"/>
    </row>
    <row r="1748" spans="4:13" s="104" customFormat="1">
      <c r="D1748" s="148"/>
      <c r="E1748" s="100"/>
      <c r="F1748" s="100"/>
      <c r="G1748" s="100"/>
      <c r="H1748" s="148"/>
      <c r="I1748" s="100"/>
      <c r="J1748" s="100"/>
      <c r="K1748" s="100"/>
      <c r="L1748" s="100"/>
      <c r="M1748" s="100"/>
    </row>
    <row r="1749" spans="4:13" s="104" customFormat="1">
      <c r="D1749" s="148"/>
      <c r="E1749" s="100"/>
      <c r="F1749" s="100"/>
      <c r="G1749" s="100"/>
      <c r="H1749" s="148"/>
      <c r="I1749" s="100"/>
      <c r="J1749" s="100"/>
      <c r="K1749" s="100"/>
      <c r="L1749" s="100"/>
      <c r="M1749" s="100"/>
    </row>
    <row r="1750" spans="4:13" s="104" customFormat="1">
      <c r="D1750" s="148"/>
      <c r="E1750" s="100"/>
      <c r="F1750" s="100"/>
      <c r="G1750" s="100"/>
      <c r="H1750" s="148"/>
      <c r="I1750" s="100"/>
      <c r="J1750" s="100"/>
      <c r="K1750" s="100"/>
      <c r="L1750" s="100"/>
      <c r="M1750" s="100"/>
    </row>
    <row r="1751" spans="4:13" s="104" customFormat="1">
      <c r="D1751" s="148"/>
      <c r="E1751" s="100"/>
      <c r="F1751" s="100"/>
      <c r="G1751" s="100"/>
      <c r="H1751" s="148"/>
      <c r="I1751" s="100"/>
      <c r="J1751" s="100"/>
      <c r="K1751" s="100"/>
      <c r="L1751" s="100"/>
      <c r="M1751" s="100"/>
    </row>
    <row r="1752" spans="4:13" s="104" customFormat="1">
      <c r="D1752" s="148"/>
      <c r="E1752" s="100"/>
      <c r="F1752" s="100"/>
      <c r="G1752" s="100"/>
      <c r="H1752" s="148"/>
      <c r="I1752" s="100"/>
      <c r="J1752" s="100"/>
      <c r="K1752" s="100"/>
      <c r="L1752" s="100"/>
      <c r="M1752" s="100"/>
    </row>
    <row r="1753" spans="4:13" s="104" customFormat="1">
      <c r="D1753" s="148"/>
      <c r="E1753" s="100"/>
      <c r="F1753" s="100"/>
      <c r="G1753" s="100"/>
      <c r="H1753" s="148"/>
      <c r="I1753" s="100"/>
      <c r="J1753" s="100"/>
      <c r="K1753" s="100"/>
      <c r="L1753" s="100"/>
      <c r="M1753" s="100"/>
    </row>
    <row r="1754" spans="4:13" s="104" customFormat="1">
      <c r="D1754" s="148"/>
      <c r="E1754" s="100"/>
      <c r="F1754" s="100"/>
      <c r="G1754" s="100"/>
      <c r="H1754" s="148"/>
      <c r="I1754" s="100"/>
      <c r="J1754" s="100"/>
      <c r="K1754" s="100"/>
      <c r="L1754" s="100"/>
      <c r="M1754" s="100"/>
    </row>
    <row r="1755" spans="4:13" s="104" customFormat="1">
      <c r="D1755" s="148"/>
      <c r="E1755" s="100"/>
      <c r="F1755" s="100"/>
      <c r="G1755" s="100"/>
      <c r="H1755" s="148"/>
      <c r="I1755" s="100"/>
      <c r="J1755" s="100"/>
      <c r="K1755" s="100"/>
      <c r="L1755" s="100"/>
      <c r="M1755" s="100"/>
    </row>
    <row r="1756" spans="4:13" s="104" customFormat="1">
      <c r="D1756" s="148"/>
      <c r="E1756" s="100"/>
      <c r="F1756" s="100"/>
      <c r="G1756" s="100"/>
      <c r="H1756" s="148"/>
      <c r="I1756" s="100"/>
      <c r="J1756" s="100"/>
      <c r="K1756" s="100"/>
      <c r="L1756" s="100"/>
      <c r="M1756" s="100"/>
    </row>
    <row r="1757" spans="4:13" s="104" customFormat="1">
      <c r="D1757" s="148"/>
      <c r="E1757" s="100"/>
      <c r="F1757" s="100"/>
      <c r="G1757" s="100"/>
      <c r="H1757" s="148"/>
      <c r="I1757" s="100"/>
      <c r="J1757" s="100"/>
      <c r="K1757" s="100"/>
      <c r="L1757" s="100"/>
      <c r="M1757" s="100"/>
    </row>
    <row r="1758" spans="4:13" s="104" customFormat="1">
      <c r="D1758" s="148"/>
      <c r="E1758" s="100"/>
      <c r="F1758" s="100"/>
      <c r="G1758" s="100"/>
      <c r="H1758" s="148"/>
      <c r="I1758" s="100"/>
      <c r="J1758" s="100"/>
      <c r="K1758" s="100"/>
      <c r="L1758" s="100"/>
      <c r="M1758" s="100"/>
    </row>
    <row r="1759" spans="4:13" s="104" customFormat="1">
      <c r="D1759" s="148"/>
      <c r="E1759" s="100"/>
      <c r="F1759" s="100"/>
      <c r="G1759" s="100"/>
      <c r="H1759" s="148"/>
      <c r="I1759" s="100"/>
      <c r="J1759" s="100"/>
      <c r="K1759" s="100"/>
      <c r="L1759" s="100"/>
      <c r="M1759" s="100"/>
    </row>
    <row r="1760" spans="4:13" s="104" customFormat="1">
      <c r="D1760" s="148"/>
      <c r="E1760" s="100"/>
      <c r="F1760" s="100"/>
      <c r="G1760" s="100"/>
      <c r="H1760" s="148"/>
      <c r="I1760" s="100"/>
      <c r="J1760" s="100"/>
      <c r="K1760" s="100"/>
      <c r="L1760" s="100"/>
      <c r="M1760" s="100"/>
    </row>
    <row r="1761" spans="4:13" s="104" customFormat="1">
      <c r="D1761" s="148"/>
      <c r="E1761" s="100"/>
      <c r="F1761" s="100"/>
      <c r="G1761" s="100"/>
      <c r="H1761" s="148"/>
      <c r="I1761" s="100"/>
      <c r="J1761" s="100"/>
      <c r="K1761" s="100"/>
      <c r="L1761" s="100"/>
      <c r="M1761" s="100"/>
    </row>
    <row r="1762" spans="4:13" s="104" customFormat="1">
      <c r="D1762" s="148"/>
      <c r="E1762" s="100"/>
      <c r="F1762" s="100"/>
      <c r="G1762" s="100"/>
      <c r="H1762" s="148"/>
      <c r="I1762" s="100"/>
      <c r="J1762" s="100"/>
      <c r="K1762" s="100"/>
      <c r="L1762" s="100"/>
      <c r="M1762" s="100"/>
    </row>
    <row r="1763" spans="4:13" s="104" customFormat="1">
      <c r="D1763" s="148"/>
      <c r="E1763" s="100"/>
      <c r="F1763" s="100"/>
      <c r="G1763" s="100"/>
      <c r="H1763" s="148"/>
      <c r="I1763" s="100"/>
      <c r="J1763" s="100"/>
      <c r="K1763" s="100"/>
      <c r="L1763" s="100"/>
      <c r="M1763" s="100"/>
    </row>
    <row r="1764" spans="4:13" s="104" customFormat="1">
      <c r="D1764" s="148"/>
      <c r="E1764" s="100"/>
      <c r="F1764" s="100"/>
      <c r="G1764" s="100"/>
      <c r="H1764" s="148"/>
      <c r="I1764" s="100"/>
      <c r="J1764" s="100"/>
      <c r="K1764" s="100"/>
      <c r="L1764" s="100"/>
      <c r="M1764" s="100"/>
    </row>
    <row r="1765" spans="4:13" s="104" customFormat="1">
      <c r="D1765" s="148"/>
      <c r="E1765" s="100"/>
      <c r="F1765" s="100"/>
      <c r="G1765" s="100"/>
      <c r="H1765" s="148"/>
      <c r="I1765" s="100"/>
      <c r="J1765" s="100"/>
      <c r="K1765" s="100"/>
      <c r="L1765" s="100"/>
      <c r="M1765" s="100"/>
    </row>
    <row r="1766" spans="4:13" s="104" customFormat="1">
      <c r="D1766" s="148"/>
      <c r="E1766" s="100"/>
      <c r="F1766" s="100"/>
      <c r="G1766" s="100"/>
      <c r="H1766" s="148"/>
      <c r="I1766" s="100"/>
      <c r="J1766" s="100"/>
      <c r="K1766" s="100"/>
      <c r="L1766" s="100"/>
      <c r="M1766" s="100"/>
    </row>
    <row r="1767" spans="4:13" s="104" customFormat="1">
      <c r="D1767" s="148"/>
      <c r="E1767" s="100"/>
      <c r="F1767" s="100"/>
      <c r="G1767" s="100"/>
      <c r="H1767" s="148"/>
      <c r="I1767" s="100"/>
      <c r="J1767" s="100"/>
      <c r="K1767" s="100"/>
      <c r="L1767" s="100"/>
      <c r="M1767" s="100"/>
    </row>
    <row r="1768" spans="4:13" s="104" customFormat="1">
      <c r="D1768" s="148"/>
      <c r="E1768" s="100"/>
      <c r="F1768" s="100"/>
      <c r="G1768" s="100"/>
      <c r="H1768" s="148"/>
      <c r="I1768" s="100"/>
      <c r="J1768" s="100"/>
      <c r="K1768" s="100"/>
      <c r="L1768" s="100"/>
      <c r="M1768" s="100"/>
    </row>
    <row r="1769" spans="4:13" s="104" customFormat="1">
      <c r="D1769" s="148"/>
      <c r="E1769" s="100"/>
      <c r="F1769" s="100"/>
      <c r="G1769" s="100"/>
      <c r="H1769" s="148"/>
      <c r="I1769" s="100"/>
      <c r="J1769" s="100"/>
      <c r="K1769" s="100"/>
      <c r="L1769" s="100"/>
      <c r="M1769" s="100"/>
    </row>
    <row r="1770" spans="4:13" s="104" customFormat="1">
      <c r="D1770" s="148"/>
      <c r="E1770" s="100"/>
      <c r="F1770" s="100"/>
      <c r="G1770" s="100"/>
      <c r="H1770" s="148"/>
      <c r="I1770" s="100"/>
      <c r="J1770" s="100"/>
      <c r="K1770" s="100"/>
      <c r="L1770" s="100"/>
      <c r="M1770" s="100"/>
    </row>
    <row r="1771" spans="4:13" s="104" customFormat="1">
      <c r="D1771" s="148"/>
      <c r="E1771" s="100"/>
      <c r="F1771" s="100"/>
      <c r="G1771" s="100"/>
      <c r="H1771" s="148"/>
      <c r="I1771" s="100"/>
      <c r="J1771" s="100"/>
      <c r="K1771" s="100"/>
      <c r="L1771" s="100"/>
      <c r="M1771" s="100"/>
    </row>
    <row r="1772" spans="4:13" s="104" customFormat="1">
      <c r="D1772" s="148"/>
      <c r="E1772" s="100"/>
      <c r="F1772" s="100"/>
      <c r="G1772" s="100"/>
      <c r="H1772" s="148"/>
      <c r="I1772" s="100"/>
      <c r="J1772" s="100"/>
      <c r="K1772" s="100"/>
      <c r="L1772" s="100"/>
      <c r="M1772" s="100"/>
    </row>
    <row r="1773" spans="4:13" s="104" customFormat="1">
      <c r="D1773" s="148"/>
      <c r="E1773" s="100"/>
      <c r="F1773" s="100"/>
      <c r="G1773" s="100"/>
      <c r="H1773" s="148"/>
      <c r="I1773" s="100"/>
      <c r="J1773" s="100"/>
      <c r="K1773" s="100"/>
      <c r="L1773" s="100"/>
      <c r="M1773" s="100"/>
    </row>
    <row r="1774" spans="4:13" s="104" customFormat="1">
      <c r="D1774" s="148"/>
      <c r="E1774" s="100"/>
      <c r="F1774" s="100"/>
      <c r="G1774" s="100"/>
      <c r="H1774" s="148"/>
      <c r="I1774" s="100"/>
      <c r="J1774" s="100"/>
      <c r="K1774" s="100"/>
      <c r="L1774" s="100"/>
      <c r="M1774" s="100"/>
    </row>
    <row r="1775" spans="4:13" s="104" customFormat="1">
      <c r="D1775" s="148"/>
      <c r="E1775" s="100"/>
      <c r="F1775" s="100"/>
      <c r="G1775" s="100"/>
      <c r="H1775" s="148"/>
      <c r="I1775" s="100"/>
      <c r="J1775" s="100"/>
      <c r="K1775" s="100"/>
      <c r="L1775" s="100"/>
      <c r="M1775" s="100"/>
    </row>
    <row r="1776" spans="4:13" s="104" customFormat="1">
      <c r="D1776" s="148"/>
      <c r="E1776" s="100"/>
      <c r="F1776" s="100"/>
      <c r="G1776" s="100"/>
      <c r="H1776" s="148"/>
      <c r="I1776" s="100"/>
      <c r="J1776" s="100"/>
      <c r="K1776" s="100"/>
      <c r="L1776" s="100"/>
      <c r="M1776" s="100"/>
    </row>
    <row r="1777" spans="4:13" s="104" customFormat="1">
      <c r="D1777" s="148"/>
      <c r="E1777" s="100"/>
      <c r="F1777" s="100"/>
      <c r="G1777" s="100"/>
      <c r="H1777" s="148"/>
      <c r="I1777" s="100"/>
      <c r="J1777" s="100"/>
      <c r="K1777" s="100"/>
      <c r="L1777" s="100"/>
      <c r="M1777" s="100"/>
    </row>
    <row r="1778" spans="4:13" s="104" customFormat="1">
      <c r="D1778" s="148"/>
      <c r="E1778" s="100"/>
      <c r="F1778" s="100"/>
      <c r="G1778" s="100"/>
      <c r="H1778" s="148"/>
      <c r="I1778" s="100"/>
      <c r="J1778" s="100"/>
      <c r="K1778" s="100"/>
      <c r="L1778" s="100"/>
      <c r="M1778" s="100"/>
    </row>
    <row r="1779" spans="4:13" s="104" customFormat="1">
      <c r="D1779" s="148"/>
      <c r="E1779" s="100"/>
      <c r="F1779" s="100"/>
      <c r="G1779" s="100"/>
      <c r="H1779" s="148"/>
      <c r="I1779" s="100"/>
      <c r="J1779" s="100"/>
      <c r="K1779" s="100"/>
      <c r="L1779" s="100"/>
      <c r="M1779" s="100"/>
    </row>
    <row r="1780" spans="4:13" s="104" customFormat="1">
      <c r="D1780" s="148"/>
      <c r="E1780" s="100"/>
      <c r="F1780" s="100"/>
      <c r="G1780" s="100"/>
      <c r="H1780" s="148"/>
      <c r="I1780" s="100"/>
      <c r="J1780" s="100"/>
      <c r="K1780" s="100"/>
      <c r="L1780" s="100"/>
      <c r="M1780" s="100"/>
    </row>
    <row r="1781" spans="4:13" s="104" customFormat="1">
      <c r="D1781" s="148"/>
      <c r="E1781" s="100"/>
      <c r="F1781" s="100"/>
      <c r="G1781" s="100"/>
      <c r="H1781" s="148"/>
      <c r="I1781" s="100"/>
      <c r="J1781" s="100"/>
      <c r="K1781" s="100"/>
      <c r="L1781" s="100"/>
      <c r="M1781" s="100"/>
    </row>
    <row r="1782" spans="4:13" s="104" customFormat="1">
      <c r="D1782" s="148"/>
      <c r="E1782" s="100"/>
      <c r="F1782" s="100"/>
      <c r="G1782" s="100"/>
      <c r="H1782" s="148"/>
      <c r="I1782" s="100"/>
      <c r="J1782" s="100"/>
      <c r="K1782" s="100"/>
      <c r="L1782" s="100"/>
      <c r="M1782" s="100"/>
    </row>
    <row r="1783" spans="4:13" s="104" customFormat="1">
      <c r="D1783" s="148"/>
      <c r="E1783" s="100"/>
      <c r="F1783" s="100"/>
      <c r="G1783" s="100"/>
      <c r="H1783" s="148"/>
      <c r="I1783" s="100"/>
      <c r="J1783" s="100"/>
      <c r="K1783" s="100"/>
      <c r="L1783" s="100"/>
      <c r="M1783" s="100"/>
    </row>
    <row r="1784" spans="4:13" s="104" customFormat="1">
      <c r="D1784" s="148"/>
      <c r="E1784" s="100"/>
      <c r="F1784" s="100"/>
      <c r="G1784" s="100"/>
      <c r="H1784" s="148"/>
      <c r="I1784" s="100"/>
      <c r="J1784" s="100"/>
      <c r="K1784" s="100"/>
      <c r="L1784" s="100"/>
      <c r="M1784" s="100"/>
    </row>
    <row r="1785" spans="4:13" s="104" customFormat="1">
      <c r="D1785" s="148"/>
      <c r="E1785" s="100"/>
      <c r="F1785" s="100"/>
      <c r="G1785" s="100"/>
      <c r="H1785" s="148"/>
      <c r="I1785" s="100"/>
      <c r="J1785" s="100"/>
      <c r="K1785" s="100"/>
      <c r="L1785" s="100"/>
      <c r="M1785" s="100"/>
    </row>
    <row r="1786" spans="4:13" s="104" customFormat="1">
      <c r="D1786" s="148"/>
      <c r="E1786" s="100"/>
      <c r="F1786" s="100"/>
      <c r="G1786" s="100"/>
      <c r="H1786" s="148"/>
      <c r="I1786" s="100"/>
      <c r="J1786" s="100"/>
      <c r="K1786" s="100"/>
      <c r="L1786" s="100"/>
      <c r="M1786" s="100"/>
    </row>
    <row r="1787" spans="4:13" s="104" customFormat="1">
      <c r="D1787" s="148"/>
      <c r="E1787" s="100"/>
      <c r="F1787" s="100"/>
      <c r="G1787" s="100"/>
      <c r="H1787" s="148"/>
      <c r="I1787" s="100"/>
      <c r="J1787" s="100"/>
      <c r="K1787" s="100"/>
      <c r="L1787" s="100"/>
      <c r="M1787" s="100"/>
    </row>
    <row r="1788" spans="4:13" s="104" customFormat="1">
      <c r="D1788" s="148"/>
      <c r="E1788" s="100"/>
      <c r="F1788" s="100"/>
      <c r="G1788" s="100"/>
      <c r="H1788" s="148"/>
      <c r="I1788" s="100"/>
      <c r="J1788" s="100"/>
      <c r="K1788" s="100"/>
      <c r="L1788" s="100"/>
      <c r="M1788" s="100"/>
    </row>
    <row r="1789" spans="4:13" s="104" customFormat="1">
      <c r="D1789" s="148"/>
      <c r="E1789" s="100"/>
      <c r="F1789" s="100"/>
      <c r="G1789" s="100"/>
      <c r="H1789" s="148"/>
      <c r="I1789" s="100"/>
      <c r="J1789" s="100"/>
      <c r="K1789" s="100"/>
      <c r="L1789" s="100"/>
      <c r="M1789" s="100"/>
    </row>
    <row r="1790" spans="4:13" s="104" customFormat="1">
      <c r="D1790" s="148"/>
      <c r="E1790" s="100"/>
      <c r="F1790" s="100"/>
      <c r="G1790" s="100"/>
      <c r="H1790" s="148"/>
      <c r="I1790" s="100"/>
      <c r="J1790" s="100"/>
      <c r="K1790" s="100"/>
      <c r="L1790" s="100"/>
      <c r="M1790" s="100"/>
    </row>
    <row r="1791" spans="4:13" s="104" customFormat="1">
      <c r="D1791" s="148"/>
      <c r="E1791" s="100"/>
      <c r="F1791" s="100"/>
      <c r="G1791" s="100"/>
      <c r="H1791" s="148"/>
      <c r="I1791" s="100"/>
      <c r="J1791" s="100"/>
      <c r="K1791" s="100"/>
      <c r="L1791" s="100"/>
      <c r="M1791" s="100"/>
    </row>
    <row r="1792" spans="4:13" s="104" customFormat="1">
      <c r="D1792" s="148"/>
      <c r="E1792" s="100"/>
      <c r="F1792" s="100"/>
      <c r="G1792" s="100"/>
      <c r="H1792" s="148"/>
      <c r="I1792" s="100"/>
      <c r="J1792" s="100"/>
      <c r="K1792" s="100"/>
      <c r="L1792" s="100"/>
      <c r="M1792" s="100"/>
    </row>
    <row r="1793" spans="4:13" s="104" customFormat="1">
      <c r="D1793" s="148"/>
      <c r="E1793" s="100"/>
      <c r="F1793" s="100"/>
      <c r="G1793" s="100"/>
      <c r="H1793" s="148"/>
      <c r="I1793" s="100"/>
      <c r="J1793" s="100"/>
      <c r="K1793" s="100"/>
      <c r="L1793" s="100"/>
      <c r="M1793" s="100"/>
    </row>
    <row r="1794" spans="4:13" s="104" customFormat="1">
      <c r="D1794" s="148"/>
      <c r="E1794" s="100"/>
      <c r="F1794" s="100"/>
      <c r="G1794" s="100"/>
      <c r="H1794" s="148"/>
      <c r="I1794" s="100"/>
      <c r="J1794" s="100"/>
      <c r="K1794" s="100"/>
      <c r="L1794" s="100"/>
      <c r="M1794" s="100"/>
    </row>
    <row r="1795" spans="4:13" s="104" customFormat="1">
      <c r="D1795" s="148"/>
      <c r="E1795" s="100"/>
      <c r="F1795" s="100"/>
      <c r="G1795" s="100"/>
      <c r="H1795" s="148"/>
      <c r="I1795" s="100"/>
      <c r="J1795" s="100"/>
      <c r="K1795" s="100"/>
      <c r="L1795" s="100"/>
      <c r="M1795" s="100"/>
    </row>
    <row r="1796" spans="4:13" s="104" customFormat="1">
      <c r="D1796" s="148"/>
      <c r="E1796" s="100"/>
      <c r="F1796" s="100"/>
      <c r="G1796" s="100"/>
      <c r="H1796" s="148"/>
      <c r="I1796" s="100"/>
      <c r="J1796" s="100"/>
      <c r="K1796" s="100"/>
      <c r="L1796" s="100"/>
      <c r="M1796" s="100"/>
    </row>
    <row r="1797" spans="4:13" s="104" customFormat="1">
      <c r="D1797" s="148"/>
      <c r="E1797" s="100"/>
      <c r="F1797" s="100"/>
      <c r="G1797" s="100"/>
      <c r="H1797" s="148"/>
      <c r="I1797" s="100"/>
      <c r="J1797" s="100"/>
      <c r="K1797" s="100"/>
      <c r="L1797" s="100"/>
      <c r="M1797" s="100"/>
    </row>
    <row r="1798" spans="4:13" s="104" customFormat="1">
      <c r="D1798" s="148"/>
      <c r="E1798" s="100"/>
      <c r="F1798" s="100"/>
      <c r="G1798" s="100"/>
      <c r="H1798" s="148"/>
      <c r="I1798" s="100"/>
      <c r="J1798" s="100"/>
      <c r="K1798" s="100"/>
      <c r="L1798" s="100"/>
      <c r="M1798" s="100"/>
    </row>
    <row r="1799" spans="4:13" s="104" customFormat="1">
      <c r="D1799" s="148"/>
      <c r="E1799" s="100"/>
      <c r="F1799" s="100"/>
      <c r="G1799" s="100"/>
      <c r="H1799" s="148"/>
      <c r="I1799" s="100"/>
      <c r="J1799" s="100"/>
      <c r="K1799" s="100"/>
      <c r="L1799" s="100"/>
      <c r="M1799" s="100"/>
    </row>
    <row r="1800" spans="4:13" s="104" customFormat="1">
      <c r="D1800" s="148"/>
      <c r="E1800" s="100"/>
      <c r="F1800" s="100"/>
      <c r="G1800" s="100"/>
      <c r="H1800" s="148"/>
      <c r="I1800" s="100"/>
      <c r="J1800" s="100"/>
      <c r="K1800" s="100"/>
      <c r="L1800" s="100"/>
      <c r="M1800" s="100"/>
    </row>
    <row r="1801" spans="4:13" s="104" customFormat="1">
      <c r="D1801" s="148"/>
      <c r="E1801" s="100"/>
      <c r="F1801" s="100"/>
      <c r="G1801" s="100"/>
      <c r="H1801" s="148"/>
      <c r="I1801" s="100"/>
      <c r="J1801" s="100"/>
      <c r="K1801" s="100"/>
      <c r="L1801" s="100"/>
      <c r="M1801" s="100"/>
    </row>
    <row r="1802" spans="4:13" s="104" customFormat="1">
      <c r="D1802" s="148"/>
      <c r="E1802" s="100"/>
      <c r="F1802" s="100"/>
      <c r="G1802" s="100"/>
      <c r="H1802" s="148"/>
      <c r="I1802" s="100"/>
      <c r="J1802" s="100"/>
      <c r="K1802" s="100"/>
      <c r="L1802" s="100"/>
      <c r="M1802" s="100"/>
    </row>
    <row r="1803" spans="4:13" s="104" customFormat="1">
      <c r="D1803" s="148"/>
      <c r="E1803" s="100"/>
      <c r="F1803" s="100"/>
      <c r="G1803" s="100"/>
      <c r="H1803" s="148"/>
      <c r="I1803" s="100"/>
      <c r="J1803" s="100"/>
      <c r="K1803" s="100"/>
      <c r="L1803" s="100"/>
      <c r="M1803" s="100"/>
    </row>
    <row r="1804" spans="4:13" s="104" customFormat="1">
      <c r="D1804" s="148"/>
      <c r="E1804" s="100"/>
      <c r="F1804" s="100"/>
      <c r="G1804" s="100"/>
      <c r="H1804" s="148"/>
      <c r="I1804" s="100"/>
      <c r="J1804" s="100"/>
      <c r="K1804" s="100"/>
      <c r="L1804" s="100"/>
      <c r="M1804" s="100"/>
    </row>
    <row r="1805" spans="4:13" s="104" customFormat="1">
      <c r="D1805" s="148"/>
      <c r="E1805" s="100"/>
      <c r="F1805" s="100"/>
      <c r="G1805" s="100"/>
      <c r="H1805" s="148"/>
      <c r="I1805" s="100"/>
      <c r="J1805" s="100"/>
      <c r="K1805" s="100"/>
      <c r="L1805" s="100"/>
      <c r="M1805" s="100"/>
    </row>
    <row r="1806" spans="4:13" s="104" customFormat="1">
      <c r="D1806" s="148"/>
      <c r="E1806" s="100"/>
      <c r="F1806" s="100"/>
      <c r="G1806" s="100"/>
      <c r="H1806" s="148"/>
      <c r="I1806" s="100"/>
      <c r="J1806" s="100"/>
      <c r="K1806" s="100"/>
      <c r="L1806" s="100"/>
      <c r="M1806" s="100"/>
    </row>
    <row r="1807" spans="4:13" s="104" customFormat="1">
      <c r="D1807" s="148"/>
      <c r="E1807" s="100"/>
      <c r="F1807" s="100"/>
      <c r="G1807" s="100"/>
      <c r="H1807" s="148"/>
      <c r="I1807" s="100"/>
      <c r="J1807" s="100"/>
      <c r="K1807" s="100"/>
      <c r="L1807" s="100"/>
      <c r="M1807" s="100"/>
    </row>
    <row r="1808" spans="4:13" s="104" customFormat="1">
      <c r="D1808" s="148"/>
      <c r="E1808" s="100"/>
      <c r="F1808" s="100"/>
      <c r="G1808" s="100"/>
      <c r="H1808" s="148"/>
      <c r="I1808" s="100"/>
      <c r="J1808" s="100"/>
      <c r="K1808" s="100"/>
      <c r="L1808" s="100"/>
      <c r="M1808" s="100"/>
    </row>
    <row r="1809" spans="4:13" s="104" customFormat="1">
      <c r="D1809" s="148"/>
      <c r="E1809" s="100"/>
      <c r="F1809" s="100"/>
      <c r="G1809" s="100"/>
      <c r="H1809" s="148"/>
      <c r="I1809" s="100"/>
      <c r="J1809" s="100"/>
      <c r="K1809" s="100"/>
      <c r="L1809" s="100"/>
      <c r="M1809" s="100"/>
    </row>
    <row r="1810" spans="4:13" s="104" customFormat="1">
      <c r="D1810" s="148"/>
      <c r="E1810" s="100"/>
      <c r="F1810" s="100"/>
      <c r="G1810" s="100"/>
      <c r="H1810" s="148"/>
      <c r="I1810" s="100"/>
      <c r="J1810" s="100"/>
      <c r="K1810" s="100"/>
      <c r="L1810" s="100"/>
      <c r="M1810" s="100"/>
    </row>
    <row r="1811" spans="4:13" s="104" customFormat="1">
      <c r="D1811" s="148"/>
      <c r="E1811" s="100"/>
      <c r="F1811" s="100"/>
      <c r="G1811" s="100"/>
      <c r="H1811" s="148"/>
      <c r="I1811" s="100"/>
      <c r="J1811" s="100"/>
      <c r="K1811" s="100"/>
      <c r="L1811" s="100"/>
      <c r="M1811" s="100"/>
    </row>
    <row r="1812" spans="4:13" s="104" customFormat="1">
      <c r="D1812" s="148"/>
      <c r="E1812" s="100"/>
      <c r="F1812" s="100"/>
      <c r="G1812" s="100"/>
      <c r="H1812" s="148"/>
      <c r="I1812" s="100"/>
      <c r="J1812" s="100"/>
      <c r="K1812" s="100"/>
      <c r="L1812" s="100"/>
      <c r="M1812" s="100"/>
    </row>
    <row r="1813" spans="4:13" s="104" customFormat="1">
      <c r="D1813" s="148"/>
      <c r="E1813" s="100"/>
      <c r="F1813" s="100"/>
      <c r="G1813" s="100"/>
      <c r="H1813" s="148"/>
      <c r="I1813" s="100"/>
      <c r="J1813" s="100"/>
      <c r="K1813" s="100"/>
      <c r="L1813" s="100"/>
      <c r="M1813" s="100"/>
    </row>
    <row r="1814" spans="4:13" s="104" customFormat="1">
      <c r="D1814" s="148"/>
      <c r="E1814" s="100"/>
      <c r="F1814" s="100"/>
      <c r="G1814" s="100"/>
      <c r="H1814" s="148"/>
      <c r="I1814" s="100"/>
      <c r="J1814" s="100"/>
      <c r="K1814" s="100"/>
      <c r="L1814" s="100"/>
      <c r="M1814" s="100"/>
    </row>
    <row r="1815" spans="4:13" s="104" customFormat="1">
      <c r="D1815" s="148"/>
      <c r="E1815" s="100"/>
      <c r="F1815" s="100"/>
      <c r="G1815" s="100"/>
      <c r="H1815" s="148"/>
      <c r="I1815" s="100"/>
      <c r="J1815" s="100"/>
      <c r="K1815" s="100"/>
      <c r="L1815" s="100"/>
      <c r="M1815" s="100"/>
    </row>
    <row r="1816" spans="4:13" s="104" customFormat="1">
      <c r="D1816" s="148"/>
      <c r="E1816" s="100"/>
      <c r="F1816" s="100"/>
      <c r="G1816" s="100"/>
      <c r="H1816" s="148"/>
      <c r="I1816" s="100"/>
      <c r="J1816" s="100"/>
      <c r="K1816" s="100"/>
      <c r="L1816" s="100"/>
      <c r="M1816" s="100"/>
    </row>
    <row r="1817" spans="4:13" s="104" customFormat="1">
      <c r="D1817" s="148"/>
      <c r="E1817" s="100"/>
      <c r="F1817" s="100"/>
      <c r="G1817" s="100"/>
      <c r="H1817" s="148"/>
      <c r="I1817" s="100"/>
      <c r="J1817" s="100"/>
      <c r="K1817" s="100"/>
      <c r="L1817" s="100"/>
      <c r="M1817" s="100"/>
    </row>
    <row r="1818" spans="4:13" s="104" customFormat="1">
      <c r="D1818" s="148"/>
      <c r="E1818" s="100"/>
      <c r="F1818" s="100"/>
      <c r="G1818" s="100"/>
      <c r="H1818" s="148"/>
      <c r="I1818" s="100"/>
      <c r="J1818" s="100"/>
      <c r="K1818" s="100"/>
      <c r="L1818" s="100"/>
      <c r="M1818" s="100"/>
    </row>
    <row r="1819" spans="4:13" s="104" customFormat="1">
      <c r="D1819" s="148"/>
      <c r="E1819" s="100"/>
      <c r="F1819" s="100"/>
      <c r="G1819" s="100"/>
      <c r="H1819" s="148"/>
      <c r="I1819" s="100"/>
      <c r="J1819" s="100"/>
      <c r="K1819" s="100"/>
      <c r="L1819" s="100"/>
      <c r="M1819" s="100"/>
    </row>
    <row r="1820" spans="4:13" s="104" customFormat="1">
      <c r="D1820" s="148"/>
      <c r="E1820" s="100"/>
      <c r="F1820" s="100"/>
      <c r="G1820" s="100"/>
      <c r="H1820" s="148"/>
      <c r="I1820" s="100"/>
      <c r="J1820" s="100"/>
      <c r="K1820" s="100"/>
      <c r="L1820" s="100"/>
      <c r="M1820" s="100"/>
    </row>
    <row r="1821" spans="4:13" s="104" customFormat="1">
      <c r="D1821" s="148"/>
      <c r="E1821" s="100"/>
      <c r="F1821" s="100"/>
      <c r="G1821" s="100"/>
      <c r="H1821" s="148"/>
      <c r="I1821" s="100"/>
      <c r="J1821" s="100"/>
      <c r="K1821" s="100"/>
      <c r="L1821" s="100"/>
      <c r="M1821" s="100"/>
    </row>
    <row r="1822" spans="4:13" s="104" customFormat="1">
      <c r="D1822" s="148"/>
      <c r="E1822" s="100"/>
      <c r="F1822" s="100"/>
      <c r="G1822" s="100"/>
      <c r="H1822" s="148"/>
      <c r="I1822" s="100"/>
      <c r="J1822" s="100"/>
      <c r="K1822" s="100"/>
      <c r="L1822" s="100"/>
      <c r="M1822" s="100"/>
    </row>
    <row r="1823" spans="4:13" s="104" customFormat="1">
      <c r="D1823" s="148"/>
      <c r="E1823" s="100"/>
      <c r="F1823" s="100"/>
      <c r="G1823" s="100"/>
      <c r="H1823" s="148"/>
      <c r="I1823" s="100"/>
      <c r="J1823" s="100"/>
      <c r="K1823" s="100"/>
      <c r="L1823" s="100"/>
      <c r="M1823" s="100"/>
    </row>
    <row r="1824" spans="4:13" s="104" customFormat="1">
      <c r="D1824" s="148"/>
      <c r="E1824" s="100"/>
      <c r="F1824" s="100"/>
      <c r="G1824" s="100"/>
      <c r="H1824" s="148"/>
      <c r="I1824" s="100"/>
      <c r="J1824" s="100"/>
      <c r="K1824" s="100"/>
      <c r="L1824" s="100"/>
      <c r="M1824" s="100"/>
    </row>
    <row r="1825" spans="4:13" s="104" customFormat="1">
      <c r="D1825" s="148"/>
      <c r="E1825" s="100"/>
      <c r="F1825" s="100"/>
      <c r="G1825" s="100"/>
      <c r="H1825" s="148"/>
      <c r="I1825" s="100"/>
      <c r="J1825" s="100"/>
      <c r="K1825" s="100"/>
      <c r="L1825" s="100"/>
      <c r="M1825" s="100"/>
    </row>
    <row r="1826" spans="4:13" s="104" customFormat="1">
      <c r="D1826" s="148"/>
      <c r="E1826" s="100"/>
      <c r="F1826" s="100"/>
      <c r="G1826" s="100"/>
      <c r="H1826" s="148"/>
      <c r="I1826" s="100"/>
      <c r="J1826" s="100"/>
      <c r="K1826" s="100"/>
      <c r="L1826" s="100"/>
      <c r="M1826" s="100"/>
    </row>
    <row r="1827" spans="4:13" s="104" customFormat="1">
      <c r="D1827" s="148"/>
      <c r="E1827" s="100"/>
      <c r="F1827" s="100"/>
      <c r="G1827" s="100"/>
      <c r="H1827" s="148"/>
      <c r="I1827" s="100"/>
      <c r="J1827" s="100"/>
      <c r="K1827" s="100"/>
      <c r="L1827" s="100"/>
      <c r="M1827" s="100"/>
    </row>
    <row r="1828" spans="4:13" s="104" customFormat="1">
      <c r="D1828" s="148"/>
      <c r="E1828" s="100"/>
      <c r="F1828" s="100"/>
      <c r="G1828" s="100"/>
      <c r="H1828" s="148"/>
      <c r="I1828" s="100"/>
      <c r="J1828" s="100"/>
      <c r="K1828" s="100"/>
      <c r="L1828" s="100"/>
      <c r="M1828" s="100"/>
    </row>
    <row r="1829" spans="4:13" s="104" customFormat="1">
      <c r="D1829" s="148"/>
      <c r="E1829" s="100"/>
      <c r="F1829" s="100"/>
      <c r="G1829" s="100"/>
      <c r="H1829" s="148"/>
      <c r="I1829" s="100"/>
      <c r="J1829" s="100"/>
      <c r="K1829" s="100"/>
      <c r="L1829" s="100"/>
      <c r="M1829" s="100"/>
    </row>
    <row r="1830" spans="4:13" s="104" customFormat="1">
      <c r="D1830" s="148"/>
      <c r="E1830" s="100"/>
      <c r="F1830" s="100"/>
      <c r="G1830" s="100"/>
      <c r="H1830" s="148"/>
      <c r="I1830" s="100"/>
      <c r="J1830" s="100"/>
      <c r="K1830" s="100"/>
      <c r="L1830" s="100"/>
      <c r="M1830" s="100"/>
    </row>
    <row r="1831" spans="4:13" s="104" customFormat="1">
      <c r="D1831" s="148"/>
      <c r="E1831" s="100"/>
      <c r="F1831" s="100"/>
      <c r="G1831" s="100"/>
      <c r="H1831" s="148"/>
      <c r="I1831" s="100"/>
      <c r="J1831" s="100"/>
      <c r="K1831" s="100"/>
      <c r="L1831" s="100"/>
      <c r="M1831" s="100"/>
    </row>
    <row r="1832" spans="4:13" s="104" customFormat="1">
      <c r="D1832" s="148"/>
      <c r="E1832" s="100"/>
      <c r="F1832" s="100"/>
      <c r="G1832" s="100"/>
      <c r="H1832" s="148"/>
      <c r="I1832" s="100"/>
      <c r="J1832" s="100"/>
      <c r="K1832" s="100"/>
      <c r="L1832" s="100"/>
      <c r="M1832" s="100"/>
    </row>
    <row r="1833" spans="4:13" s="104" customFormat="1">
      <c r="D1833" s="148"/>
      <c r="E1833" s="100"/>
      <c r="F1833" s="100"/>
      <c r="G1833" s="100"/>
      <c r="H1833" s="148"/>
      <c r="I1833" s="100"/>
      <c r="J1833" s="100"/>
      <c r="K1833" s="100"/>
      <c r="L1833" s="100"/>
      <c r="M1833" s="100"/>
    </row>
    <row r="1834" spans="4:13" s="104" customFormat="1">
      <c r="D1834" s="148"/>
      <c r="E1834" s="100"/>
      <c r="F1834" s="100"/>
      <c r="G1834" s="100"/>
      <c r="H1834" s="148"/>
      <c r="I1834" s="100"/>
      <c r="J1834" s="100"/>
      <c r="K1834" s="100"/>
      <c r="L1834" s="100"/>
      <c r="M1834" s="100"/>
    </row>
    <row r="1835" spans="4:13" s="104" customFormat="1">
      <c r="D1835" s="148"/>
      <c r="E1835" s="100"/>
      <c r="F1835" s="100"/>
      <c r="G1835" s="100"/>
      <c r="H1835" s="148"/>
      <c r="I1835" s="100"/>
      <c r="J1835" s="100"/>
      <c r="K1835" s="100"/>
      <c r="L1835" s="100"/>
      <c r="M1835" s="100"/>
    </row>
    <row r="1836" spans="4:13" s="104" customFormat="1">
      <c r="D1836" s="148"/>
      <c r="E1836" s="100"/>
      <c r="F1836" s="100"/>
      <c r="G1836" s="100"/>
      <c r="H1836" s="148"/>
      <c r="I1836" s="100"/>
      <c r="J1836" s="100"/>
      <c r="K1836" s="100"/>
      <c r="L1836" s="100"/>
      <c r="M1836" s="100"/>
    </row>
    <row r="1837" spans="4:13" s="104" customFormat="1">
      <c r="D1837" s="148"/>
      <c r="E1837" s="100"/>
      <c r="F1837" s="100"/>
      <c r="G1837" s="100"/>
      <c r="H1837" s="148"/>
      <c r="I1837" s="100"/>
      <c r="J1837" s="100"/>
      <c r="K1837" s="100"/>
      <c r="L1837" s="100"/>
      <c r="M1837" s="100"/>
    </row>
    <row r="1838" spans="4:13" s="104" customFormat="1">
      <c r="D1838" s="148"/>
      <c r="E1838" s="100"/>
      <c r="F1838" s="100"/>
      <c r="G1838" s="100"/>
      <c r="H1838" s="148"/>
      <c r="I1838" s="100"/>
      <c r="J1838" s="100"/>
      <c r="K1838" s="100"/>
      <c r="L1838" s="100"/>
      <c r="M1838" s="100"/>
    </row>
    <row r="1839" spans="4:13" s="104" customFormat="1">
      <c r="D1839" s="148"/>
      <c r="E1839" s="100"/>
      <c r="F1839" s="100"/>
      <c r="G1839" s="100"/>
      <c r="H1839" s="148"/>
      <c r="I1839" s="100"/>
      <c r="J1839" s="100"/>
      <c r="K1839" s="100"/>
      <c r="L1839" s="100"/>
      <c r="M1839" s="100"/>
    </row>
    <row r="1840" spans="4:13" s="104" customFormat="1">
      <c r="D1840" s="148"/>
      <c r="E1840" s="100"/>
      <c r="F1840" s="100"/>
      <c r="G1840" s="100"/>
      <c r="H1840" s="148"/>
      <c r="I1840" s="100"/>
      <c r="J1840" s="100"/>
      <c r="K1840" s="100"/>
      <c r="L1840" s="100"/>
      <c r="M1840" s="100"/>
    </row>
    <row r="1841" spans="4:13" s="104" customFormat="1">
      <c r="D1841" s="148"/>
      <c r="E1841" s="100"/>
      <c r="F1841" s="100"/>
      <c r="G1841" s="100"/>
      <c r="H1841" s="148"/>
      <c r="I1841" s="100"/>
      <c r="J1841" s="100"/>
      <c r="K1841" s="100"/>
      <c r="L1841" s="100"/>
      <c r="M1841" s="100"/>
    </row>
    <row r="1842" spans="4:13" s="104" customFormat="1">
      <c r="D1842" s="148"/>
      <c r="E1842" s="100"/>
      <c r="F1842" s="100"/>
      <c r="G1842" s="100"/>
      <c r="H1842" s="148"/>
      <c r="I1842" s="100"/>
      <c r="J1842" s="100"/>
      <c r="K1842" s="100"/>
      <c r="L1842" s="100"/>
      <c r="M1842" s="100"/>
    </row>
    <row r="1843" spans="4:13" s="104" customFormat="1">
      <c r="D1843" s="148"/>
      <c r="E1843" s="100"/>
      <c r="F1843" s="100"/>
      <c r="G1843" s="100"/>
      <c r="H1843" s="148"/>
      <c r="I1843" s="100"/>
      <c r="J1843" s="100"/>
      <c r="K1843" s="100"/>
      <c r="L1843" s="100"/>
      <c r="M1843" s="100"/>
    </row>
    <row r="1844" spans="4:13" s="104" customFormat="1">
      <c r="D1844" s="148"/>
      <c r="E1844" s="100"/>
      <c r="F1844" s="100"/>
      <c r="G1844" s="100"/>
      <c r="H1844" s="148"/>
      <c r="I1844" s="100"/>
      <c r="J1844" s="100"/>
      <c r="K1844" s="100"/>
      <c r="L1844" s="100"/>
      <c r="M1844" s="100"/>
    </row>
    <row r="1845" spans="4:13" s="104" customFormat="1">
      <c r="D1845" s="148"/>
      <c r="E1845" s="100"/>
      <c r="F1845" s="100"/>
      <c r="G1845" s="100"/>
      <c r="H1845" s="148"/>
      <c r="I1845" s="100"/>
      <c r="J1845" s="100"/>
      <c r="K1845" s="100"/>
      <c r="L1845" s="100"/>
      <c r="M1845" s="100"/>
    </row>
    <row r="1846" spans="4:13" s="104" customFormat="1">
      <c r="D1846" s="148"/>
      <c r="E1846" s="100"/>
      <c r="F1846" s="100"/>
      <c r="G1846" s="100"/>
      <c r="H1846" s="148"/>
      <c r="I1846" s="100"/>
      <c r="J1846" s="100"/>
      <c r="K1846" s="100"/>
      <c r="L1846" s="100"/>
      <c r="M1846" s="100"/>
    </row>
    <row r="1847" spans="4:13" s="104" customFormat="1">
      <c r="D1847" s="148"/>
      <c r="E1847" s="100"/>
      <c r="F1847" s="100"/>
      <c r="G1847" s="100"/>
      <c r="H1847" s="148"/>
      <c r="I1847" s="100"/>
      <c r="J1847" s="100"/>
      <c r="K1847" s="100"/>
      <c r="L1847" s="100"/>
      <c r="M1847" s="100"/>
    </row>
    <row r="1848" spans="4:13" s="104" customFormat="1">
      <c r="D1848" s="148"/>
      <c r="E1848" s="100"/>
      <c r="F1848" s="100"/>
      <c r="G1848" s="100"/>
      <c r="H1848" s="148"/>
      <c r="I1848" s="100"/>
      <c r="J1848" s="100"/>
      <c r="K1848" s="100"/>
      <c r="L1848" s="100"/>
      <c r="M1848" s="100"/>
    </row>
    <row r="1849" spans="4:13" s="104" customFormat="1">
      <c r="D1849" s="148"/>
      <c r="E1849" s="100"/>
      <c r="F1849" s="100"/>
      <c r="G1849" s="100"/>
      <c r="H1849" s="148"/>
      <c r="I1849" s="100"/>
      <c r="J1849" s="100"/>
      <c r="K1849" s="100"/>
      <c r="L1849" s="100"/>
      <c r="M1849" s="100"/>
    </row>
    <row r="1850" spans="4:13" s="104" customFormat="1">
      <c r="D1850" s="148"/>
      <c r="E1850" s="100"/>
      <c r="F1850" s="100"/>
      <c r="G1850" s="100"/>
      <c r="H1850" s="148"/>
      <c r="I1850" s="100"/>
      <c r="J1850" s="100"/>
      <c r="K1850" s="100"/>
      <c r="L1850" s="100"/>
      <c r="M1850" s="100"/>
    </row>
    <row r="1851" spans="4:13" s="104" customFormat="1">
      <c r="D1851" s="148"/>
      <c r="E1851" s="100"/>
      <c r="F1851" s="100"/>
      <c r="G1851" s="100"/>
      <c r="H1851" s="148"/>
      <c r="I1851" s="100"/>
      <c r="J1851" s="100"/>
      <c r="K1851" s="100"/>
      <c r="L1851" s="100"/>
      <c r="M1851" s="100"/>
    </row>
    <row r="1852" spans="4:13" s="104" customFormat="1">
      <c r="D1852" s="148"/>
      <c r="E1852" s="100"/>
      <c r="F1852" s="100"/>
      <c r="G1852" s="100"/>
      <c r="H1852" s="148"/>
      <c r="I1852" s="100"/>
      <c r="J1852" s="100"/>
      <c r="K1852" s="100"/>
      <c r="L1852" s="100"/>
      <c r="M1852" s="100"/>
    </row>
    <row r="1853" spans="4:13" s="104" customFormat="1">
      <c r="D1853" s="148"/>
      <c r="E1853" s="100"/>
      <c r="F1853" s="100"/>
      <c r="G1853" s="100"/>
      <c r="H1853" s="148"/>
      <c r="I1853" s="100"/>
      <c r="J1853" s="100"/>
      <c r="K1853" s="100"/>
      <c r="L1853" s="100"/>
      <c r="M1853" s="100"/>
    </row>
    <row r="1854" spans="4:13" s="104" customFormat="1">
      <c r="D1854" s="148"/>
      <c r="E1854" s="100"/>
      <c r="F1854" s="100"/>
      <c r="G1854" s="100"/>
      <c r="H1854" s="148"/>
      <c r="I1854" s="100"/>
      <c r="J1854" s="100"/>
      <c r="K1854" s="100"/>
      <c r="L1854" s="100"/>
      <c r="M1854" s="100"/>
    </row>
    <row r="1855" spans="4:13" s="104" customFormat="1">
      <c r="D1855" s="148"/>
      <c r="E1855" s="100"/>
      <c r="F1855" s="100"/>
      <c r="G1855" s="100"/>
      <c r="H1855" s="148"/>
      <c r="I1855" s="100"/>
      <c r="J1855" s="100"/>
      <c r="K1855" s="100"/>
      <c r="L1855" s="100"/>
      <c r="M1855" s="100"/>
    </row>
    <row r="1856" spans="4:13" s="104" customFormat="1">
      <c r="D1856" s="148"/>
      <c r="E1856" s="100"/>
      <c r="F1856" s="100"/>
      <c r="G1856" s="100"/>
      <c r="H1856" s="148"/>
      <c r="I1856" s="100"/>
      <c r="J1856" s="100"/>
      <c r="K1856" s="100"/>
      <c r="L1856" s="100"/>
      <c r="M1856" s="100"/>
    </row>
    <row r="1857" spans="4:13" s="104" customFormat="1">
      <c r="D1857" s="148"/>
      <c r="E1857" s="100"/>
      <c r="F1857" s="100"/>
      <c r="G1857" s="100"/>
      <c r="H1857" s="148"/>
      <c r="I1857" s="100"/>
      <c r="J1857" s="100"/>
      <c r="K1857" s="100"/>
      <c r="L1857" s="100"/>
      <c r="M1857" s="100"/>
    </row>
    <row r="1858" spans="4:13" s="104" customFormat="1">
      <c r="D1858" s="148"/>
      <c r="E1858" s="100"/>
      <c r="F1858" s="100"/>
      <c r="G1858" s="100"/>
      <c r="H1858" s="148"/>
      <c r="I1858" s="100"/>
      <c r="J1858" s="100"/>
      <c r="K1858" s="100"/>
      <c r="L1858" s="100"/>
      <c r="M1858" s="100"/>
    </row>
    <row r="1859" spans="4:13" s="104" customFormat="1">
      <c r="D1859" s="148"/>
      <c r="E1859" s="100"/>
      <c r="F1859" s="100"/>
      <c r="G1859" s="100"/>
      <c r="H1859" s="148"/>
      <c r="I1859" s="100"/>
      <c r="J1859" s="100"/>
      <c r="K1859" s="100"/>
      <c r="L1859" s="100"/>
      <c r="M1859" s="100"/>
    </row>
    <row r="1860" spans="4:13" s="104" customFormat="1">
      <c r="D1860" s="148"/>
      <c r="E1860" s="100"/>
      <c r="F1860" s="100"/>
      <c r="G1860" s="100"/>
      <c r="H1860" s="148"/>
      <c r="I1860" s="100"/>
      <c r="J1860" s="100"/>
      <c r="K1860" s="100"/>
      <c r="L1860" s="100"/>
      <c r="M1860" s="100"/>
    </row>
    <row r="1861" spans="4:13" s="104" customFormat="1">
      <c r="D1861" s="148"/>
      <c r="E1861" s="100"/>
      <c r="F1861" s="100"/>
      <c r="G1861" s="100"/>
      <c r="H1861" s="148"/>
      <c r="I1861" s="100"/>
      <c r="J1861" s="100"/>
      <c r="K1861" s="100"/>
      <c r="L1861" s="100"/>
      <c r="M1861" s="100"/>
    </row>
    <row r="1862" spans="4:13" s="104" customFormat="1">
      <c r="D1862" s="148"/>
      <c r="E1862" s="100"/>
      <c r="F1862" s="100"/>
      <c r="G1862" s="100"/>
      <c r="H1862" s="148"/>
      <c r="I1862" s="100"/>
      <c r="J1862" s="100"/>
      <c r="K1862" s="100"/>
      <c r="L1862" s="100"/>
      <c r="M1862" s="100"/>
    </row>
    <row r="1863" spans="4:13" s="104" customFormat="1">
      <c r="D1863" s="148"/>
      <c r="E1863" s="100"/>
      <c r="F1863" s="100"/>
      <c r="G1863" s="100"/>
      <c r="H1863" s="148"/>
      <c r="I1863" s="100"/>
      <c r="J1863" s="100"/>
      <c r="K1863" s="100"/>
      <c r="L1863" s="100"/>
      <c r="M1863" s="100"/>
    </row>
    <row r="1864" spans="4:13" s="104" customFormat="1">
      <c r="D1864" s="148"/>
      <c r="E1864" s="100"/>
      <c r="F1864" s="100"/>
      <c r="G1864" s="100"/>
      <c r="H1864" s="148"/>
      <c r="I1864" s="100"/>
      <c r="J1864" s="100"/>
      <c r="K1864" s="100"/>
      <c r="L1864" s="100"/>
      <c r="M1864" s="100"/>
    </row>
    <row r="1865" spans="4:13" s="104" customFormat="1">
      <c r="D1865" s="148"/>
      <c r="E1865" s="100"/>
      <c r="F1865" s="100"/>
      <c r="G1865" s="100"/>
      <c r="H1865" s="148"/>
      <c r="I1865" s="100"/>
      <c r="J1865" s="100"/>
      <c r="K1865" s="100"/>
      <c r="L1865" s="100"/>
      <c r="M1865" s="100"/>
    </row>
    <row r="1866" spans="4:13" s="104" customFormat="1">
      <c r="D1866" s="148"/>
      <c r="E1866" s="100"/>
      <c r="F1866" s="100"/>
      <c r="G1866" s="100"/>
      <c r="H1866" s="148"/>
      <c r="I1866" s="100"/>
      <c r="J1866" s="100"/>
      <c r="K1866" s="100"/>
      <c r="L1866" s="100"/>
      <c r="M1866" s="100"/>
    </row>
    <row r="1867" spans="4:13" s="104" customFormat="1">
      <c r="D1867" s="148"/>
      <c r="E1867" s="100"/>
      <c r="F1867" s="100"/>
      <c r="G1867" s="100"/>
      <c r="H1867" s="148"/>
      <c r="I1867" s="100"/>
      <c r="J1867" s="100"/>
      <c r="K1867" s="100"/>
      <c r="L1867" s="100"/>
      <c r="M1867" s="100"/>
    </row>
    <row r="1868" spans="4:13" s="104" customFormat="1">
      <c r="D1868" s="148"/>
      <c r="E1868" s="100"/>
      <c r="F1868" s="100"/>
      <c r="G1868" s="100"/>
      <c r="H1868" s="148"/>
      <c r="I1868" s="100"/>
      <c r="J1868" s="100"/>
      <c r="K1868" s="100"/>
      <c r="L1868" s="100"/>
      <c r="M1868" s="100"/>
    </row>
    <row r="1869" spans="4:13" s="104" customFormat="1">
      <c r="D1869" s="148"/>
      <c r="E1869" s="100"/>
      <c r="F1869" s="100"/>
      <c r="G1869" s="100"/>
      <c r="H1869" s="148"/>
      <c r="I1869" s="100"/>
      <c r="J1869" s="100"/>
      <c r="K1869" s="100"/>
      <c r="L1869" s="100"/>
      <c r="M1869" s="100"/>
    </row>
    <row r="1870" spans="4:13" s="104" customFormat="1">
      <c r="D1870" s="148"/>
      <c r="E1870" s="100"/>
      <c r="F1870" s="100"/>
      <c r="G1870" s="100"/>
      <c r="H1870" s="148"/>
      <c r="I1870" s="100"/>
      <c r="J1870" s="100"/>
      <c r="K1870" s="100"/>
      <c r="L1870" s="100"/>
      <c r="M1870" s="100"/>
    </row>
    <row r="1871" spans="4:13" s="104" customFormat="1">
      <c r="D1871" s="148"/>
      <c r="E1871" s="100"/>
      <c r="F1871" s="100"/>
      <c r="G1871" s="100"/>
      <c r="H1871" s="148"/>
      <c r="I1871" s="100"/>
      <c r="J1871" s="100"/>
      <c r="K1871" s="100"/>
      <c r="L1871" s="100"/>
      <c r="M1871" s="100"/>
    </row>
    <row r="1872" spans="4:13" s="104" customFormat="1">
      <c r="D1872" s="148"/>
      <c r="E1872" s="100"/>
      <c r="F1872" s="100"/>
      <c r="G1872" s="100"/>
      <c r="H1872" s="148"/>
      <c r="I1872" s="100"/>
      <c r="J1872" s="100"/>
      <c r="K1872" s="100"/>
      <c r="L1872" s="100"/>
      <c r="M1872" s="100"/>
    </row>
    <row r="1873" spans="4:13" s="104" customFormat="1">
      <c r="D1873" s="148"/>
      <c r="E1873" s="100"/>
      <c r="F1873" s="100"/>
      <c r="G1873" s="100"/>
      <c r="H1873" s="148"/>
      <c r="I1873" s="100"/>
      <c r="J1873" s="100"/>
      <c r="K1873" s="100"/>
      <c r="L1873" s="100"/>
      <c r="M1873" s="100"/>
    </row>
    <row r="1874" spans="4:13" s="104" customFormat="1">
      <c r="D1874" s="148"/>
      <c r="E1874" s="100"/>
      <c r="F1874" s="100"/>
      <c r="G1874" s="100"/>
      <c r="H1874" s="148"/>
      <c r="I1874" s="100"/>
      <c r="J1874" s="100"/>
      <c r="K1874" s="100"/>
      <c r="L1874" s="100"/>
      <c r="M1874" s="100"/>
    </row>
    <row r="1875" spans="4:13" s="104" customFormat="1">
      <c r="D1875" s="148"/>
      <c r="E1875" s="100"/>
      <c r="F1875" s="100"/>
      <c r="G1875" s="100"/>
      <c r="H1875" s="148"/>
      <c r="I1875" s="100"/>
      <c r="J1875" s="100"/>
      <c r="K1875" s="100"/>
      <c r="L1875" s="100"/>
      <c r="M1875" s="100"/>
    </row>
    <row r="1876" spans="4:13" s="104" customFormat="1">
      <c r="D1876" s="148"/>
      <c r="E1876" s="100"/>
      <c r="F1876" s="100"/>
      <c r="G1876" s="100"/>
      <c r="H1876" s="148"/>
      <c r="I1876" s="100"/>
      <c r="J1876" s="100"/>
      <c r="K1876" s="100"/>
      <c r="L1876" s="100"/>
      <c r="M1876" s="100"/>
    </row>
    <row r="1877" spans="4:13" s="104" customFormat="1">
      <c r="D1877" s="148"/>
      <c r="E1877" s="100"/>
      <c r="F1877" s="100"/>
      <c r="G1877" s="100"/>
      <c r="H1877" s="148"/>
      <c r="I1877" s="100"/>
      <c r="J1877" s="100"/>
      <c r="K1877" s="100"/>
      <c r="L1877" s="100"/>
      <c r="M1877" s="100"/>
    </row>
    <row r="1878" spans="4:13" s="104" customFormat="1">
      <c r="D1878" s="148"/>
      <c r="E1878" s="100"/>
      <c r="F1878" s="100"/>
      <c r="G1878" s="100"/>
      <c r="H1878" s="148"/>
      <c r="I1878" s="100"/>
      <c r="J1878" s="100"/>
      <c r="K1878" s="100"/>
      <c r="L1878" s="100"/>
      <c r="M1878" s="100"/>
    </row>
    <row r="1879" spans="4:13" s="104" customFormat="1">
      <c r="D1879" s="148"/>
      <c r="E1879" s="100"/>
      <c r="F1879" s="100"/>
      <c r="G1879" s="100"/>
      <c r="H1879" s="148"/>
      <c r="I1879" s="100"/>
      <c r="J1879" s="100"/>
      <c r="K1879" s="100"/>
      <c r="L1879" s="100"/>
      <c r="M1879" s="100"/>
    </row>
    <row r="1880" spans="4:13" s="104" customFormat="1">
      <c r="D1880" s="148"/>
      <c r="E1880" s="100"/>
      <c r="F1880" s="100"/>
      <c r="G1880" s="100"/>
      <c r="H1880" s="148"/>
      <c r="I1880" s="100"/>
      <c r="J1880" s="100"/>
      <c r="K1880" s="100"/>
      <c r="L1880" s="100"/>
      <c r="M1880" s="100"/>
    </row>
    <row r="1881" spans="4:13" s="104" customFormat="1">
      <c r="D1881" s="148"/>
      <c r="E1881" s="100"/>
      <c r="F1881" s="100"/>
      <c r="G1881" s="100"/>
      <c r="H1881" s="148"/>
      <c r="I1881" s="100"/>
      <c r="J1881" s="100"/>
      <c r="K1881" s="100"/>
      <c r="L1881" s="100"/>
      <c r="M1881" s="100"/>
    </row>
    <row r="1882" spans="4:13" s="104" customFormat="1">
      <c r="D1882" s="148"/>
      <c r="E1882" s="100"/>
      <c r="F1882" s="100"/>
      <c r="G1882" s="100"/>
      <c r="H1882" s="148"/>
      <c r="I1882" s="100"/>
      <c r="J1882" s="100"/>
      <c r="K1882" s="100"/>
      <c r="L1882" s="100"/>
      <c r="M1882" s="100"/>
    </row>
    <row r="1883" spans="4:13" s="104" customFormat="1">
      <c r="D1883" s="148"/>
      <c r="E1883" s="100"/>
      <c r="F1883" s="100"/>
      <c r="G1883" s="100"/>
      <c r="H1883" s="148"/>
      <c r="I1883" s="100"/>
      <c r="J1883" s="100"/>
      <c r="K1883" s="100"/>
      <c r="L1883" s="100"/>
      <c r="M1883" s="100"/>
    </row>
    <row r="1884" spans="4:13" s="104" customFormat="1">
      <c r="D1884" s="148"/>
      <c r="E1884" s="100"/>
      <c r="F1884" s="100"/>
      <c r="G1884" s="100"/>
      <c r="H1884" s="148"/>
      <c r="I1884" s="100"/>
      <c r="J1884" s="100"/>
      <c r="K1884" s="100"/>
      <c r="L1884" s="100"/>
      <c r="M1884" s="100"/>
    </row>
    <row r="1885" spans="4:13" s="104" customFormat="1">
      <c r="D1885" s="148"/>
      <c r="E1885" s="100"/>
      <c r="F1885" s="100"/>
      <c r="G1885" s="100"/>
      <c r="H1885" s="148"/>
      <c r="I1885" s="100"/>
      <c r="J1885" s="100"/>
      <c r="K1885" s="100"/>
      <c r="L1885" s="100"/>
      <c r="M1885" s="100"/>
    </row>
    <row r="1886" spans="4:13" s="104" customFormat="1">
      <c r="D1886" s="148"/>
      <c r="E1886" s="100"/>
      <c r="F1886" s="100"/>
      <c r="G1886" s="100"/>
      <c r="H1886" s="148"/>
      <c r="I1886" s="100"/>
      <c r="J1886" s="100"/>
      <c r="K1886" s="100"/>
      <c r="L1886" s="100"/>
      <c r="M1886" s="100"/>
    </row>
    <row r="1887" spans="4:13" s="104" customFormat="1">
      <c r="D1887" s="148"/>
      <c r="E1887" s="100"/>
      <c r="F1887" s="100"/>
      <c r="G1887" s="100"/>
      <c r="H1887" s="148"/>
      <c r="I1887" s="100"/>
      <c r="J1887" s="100"/>
      <c r="K1887" s="100"/>
      <c r="L1887" s="100"/>
      <c r="M1887" s="100"/>
    </row>
    <row r="1888" spans="4:13" s="104" customFormat="1">
      <c r="D1888" s="148"/>
      <c r="E1888" s="100"/>
      <c r="F1888" s="100"/>
      <c r="G1888" s="100"/>
      <c r="H1888" s="148"/>
      <c r="I1888" s="100"/>
      <c r="J1888" s="100"/>
      <c r="K1888" s="100"/>
      <c r="L1888" s="100"/>
      <c r="M1888" s="100"/>
    </row>
    <row r="1889" spans="4:13" s="104" customFormat="1">
      <c r="D1889" s="148"/>
      <c r="E1889" s="100"/>
      <c r="F1889" s="100"/>
      <c r="G1889" s="100"/>
      <c r="H1889" s="148"/>
      <c r="I1889" s="100"/>
      <c r="J1889" s="100"/>
      <c r="K1889" s="100"/>
      <c r="L1889" s="100"/>
      <c r="M1889" s="100"/>
    </row>
    <row r="1890" spans="4:13" s="104" customFormat="1">
      <c r="D1890" s="148"/>
      <c r="E1890" s="100"/>
      <c r="F1890" s="100"/>
      <c r="G1890" s="100"/>
      <c r="H1890" s="148"/>
      <c r="I1890" s="100"/>
      <c r="J1890" s="100"/>
      <c r="K1890" s="100"/>
      <c r="L1890" s="100"/>
      <c r="M1890" s="100"/>
    </row>
    <row r="1891" spans="4:13" s="104" customFormat="1">
      <c r="D1891" s="148"/>
      <c r="E1891" s="100"/>
      <c r="F1891" s="100"/>
      <c r="G1891" s="100"/>
      <c r="H1891" s="148"/>
      <c r="I1891" s="100"/>
      <c r="J1891" s="100"/>
      <c r="K1891" s="100"/>
      <c r="L1891" s="100"/>
      <c r="M1891" s="100"/>
    </row>
    <row r="1892" spans="4:13" s="104" customFormat="1">
      <c r="D1892" s="148"/>
      <c r="E1892" s="100"/>
      <c r="F1892" s="100"/>
      <c r="G1892" s="100"/>
      <c r="H1892" s="148"/>
      <c r="I1892" s="100"/>
      <c r="J1892" s="100"/>
      <c r="K1892" s="100"/>
      <c r="L1892" s="100"/>
      <c r="M1892" s="100"/>
    </row>
    <row r="1893" spans="4:13" s="104" customFormat="1">
      <c r="D1893" s="148"/>
      <c r="E1893" s="100"/>
      <c r="F1893" s="100"/>
      <c r="G1893" s="100"/>
      <c r="H1893" s="148"/>
      <c r="I1893" s="100"/>
      <c r="J1893" s="100"/>
      <c r="K1893" s="100"/>
      <c r="L1893" s="100"/>
      <c r="M1893" s="100"/>
    </row>
    <row r="1894" spans="4:13" s="104" customFormat="1">
      <c r="D1894" s="148"/>
      <c r="E1894" s="100"/>
      <c r="F1894" s="100"/>
      <c r="G1894" s="100"/>
      <c r="H1894" s="148"/>
      <c r="I1894" s="100"/>
      <c r="J1894" s="100"/>
      <c r="K1894" s="100"/>
      <c r="L1894" s="100"/>
      <c r="M1894" s="100"/>
    </row>
    <row r="1895" spans="4:13" s="104" customFormat="1">
      <c r="D1895" s="148"/>
      <c r="E1895" s="100"/>
      <c r="F1895" s="100"/>
      <c r="G1895" s="100"/>
      <c r="H1895" s="148"/>
      <c r="I1895" s="100"/>
      <c r="J1895" s="100"/>
      <c r="K1895" s="100"/>
      <c r="L1895" s="100"/>
      <c r="M1895" s="100"/>
    </row>
    <row r="1896" spans="4:13" s="104" customFormat="1">
      <c r="D1896" s="148"/>
      <c r="E1896" s="100"/>
      <c r="F1896" s="100"/>
      <c r="G1896" s="100"/>
      <c r="H1896" s="148"/>
      <c r="I1896" s="100"/>
      <c r="J1896" s="100"/>
      <c r="K1896" s="100"/>
      <c r="L1896" s="100"/>
      <c r="M1896" s="100"/>
    </row>
    <row r="1897" spans="4:13" s="104" customFormat="1">
      <c r="D1897" s="148"/>
      <c r="E1897" s="100"/>
      <c r="F1897" s="100"/>
      <c r="G1897" s="100"/>
      <c r="H1897" s="148"/>
      <c r="I1897" s="100"/>
      <c r="J1897" s="100"/>
      <c r="K1897" s="100"/>
      <c r="L1897" s="100"/>
      <c r="M1897" s="100"/>
    </row>
    <row r="1898" spans="4:13" s="104" customFormat="1">
      <c r="D1898" s="148"/>
      <c r="E1898" s="100"/>
      <c r="F1898" s="100"/>
      <c r="G1898" s="100"/>
      <c r="H1898" s="148"/>
      <c r="I1898" s="100"/>
      <c r="J1898" s="100"/>
      <c r="K1898" s="100"/>
      <c r="L1898" s="100"/>
      <c r="M1898" s="100"/>
    </row>
    <row r="1899" spans="4:13" s="104" customFormat="1">
      <c r="D1899" s="148"/>
      <c r="E1899" s="100"/>
      <c r="F1899" s="100"/>
      <c r="G1899" s="100"/>
      <c r="H1899" s="148"/>
      <c r="I1899" s="100"/>
      <c r="J1899" s="100"/>
      <c r="K1899" s="100"/>
      <c r="L1899" s="100"/>
      <c r="M1899" s="100"/>
    </row>
    <row r="1900" spans="4:13" s="104" customFormat="1">
      <c r="D1900" s="148"/>
      <c r="E1900" s="100"/>
      <c r="F1900" s="100"/>
      <c r="G1900" s="100"/>
      <c r="H1900" s="148"/>
      <c r="I1900" s="100"/>
      <c r="J1900" s="100"/>
      <c r="K1900" s="100"/>
      <c r="L1900" s="100"/>
      <c r="M1900" s="100"/>
    </row>
    <row r="1901" spans="4:13" s="104" customFormat="1">
      <c r="D1901" s="148"/>
      <c r="E1901" s="100"/>
      <c r="F1901" s="100"/>
      <c r="G1901" s="100"/>
      <c r="H1901" s="148"/>
      <c r="I1901" s="100"/>
      <c r="J1901" s="100"/>
      <c r="K1901" s="100"/>
      <c r="L1901" s="100"/>
      <c r="M1901" s="100"/>
    </row>
    <row r="1902" spans="4:13" s="104" customFormat="1">
      <c r="D1902" s="148"/>
      <c r="E1902" s="100"/>
      <c r="F1902" s="100"/>
      <c r="G1902" s="100"/>
      <c r="H1902" s="148"/>
      <c r="I1902" s="100"/>
      <c r="J1902" s="100"/>
      <c r="K1902" s="100"/>
      <c r="L1902" s="100"/>
      <c r="M1902" s="100"/>
    </row>
    <row r="1903" spans="4:13" s="104" customFormat="1">
      <c r="D1903" s="148"/>
      <c r="E1903" s="100"/>
      <c r="F1903" s="100"/>
      <c r="G1903" s="100"/>
      <c r="H1903" s="148"/>
      <c r="I1903" s="100"/>
      <c r="J1903" s="100"/>
      <c r="K1903" s="100"/>
      <c r="L1903" s="100"/>
      <c r="M1903" s="100"/>
    </row>
    <row r="1904" spans="4:13" s="104" customFormat="1">
      <c r="D1904" s="148"/>
      <c r="E1904" s="100"/>
      <c r="F1904" s="100"/>
      <c r="G1904" s="100"/>
      <c r="H1904" s="148"/>
      <c r="I1904" s="100"/>
      <c r="J1904" s="100"/>
      <c r="K1904" s="100"/>
      <c r="L1904" s="100"/>
      <c r="M1904" s="100"/>
    </row>
    <row r="1905" spans="4:13" s="104" customFormat="1">
      <c r="D1905" s="148"/>
      <c r="E1905" s="100"/>
      <c r="F1905" s="100"/>
      <c r="G1905" s="100"/>
      <c r="H1905" s="148"/>
      <c r="I1905" s="100"/>
      <c r="J1905" s="100"/>
      <c r="K1905" s="100"/>
      <c r="L1905" s="100"/>
      <c r="M1905" s="100"/>
    </row>
    <row r="1906" spans="4:13" s="104" customFormat="1">
      <c r="D1906" s="148"/>
      <c r="E1906" s="100"/>
      <c r="F1906" s="100"/>
      <c r="G1906" s="100"/>
      <c r="H1906" s="148"/>
      <c r="I1906" s="100"/>
      <c r="J1906" s="100"/>
      <c r="K1906" s="100"/>
      <c r="L1906" s="100"/>
      <c r="M1906" s="100"/>
    </row>
    <row r="1907" spans="4:13" s="104" customFormat="1">
      <c r="D1907" s="148"/>
      <c r="E1907" s="100"/>
      <c r="F1907" s="100"/>
      <c r="G1907" s="100"/>
      <c r="H1907" s="148"/>
      <c r="I1907" s="100"/>
      <c r="J1907" s="100"/>
      <c r="K1907" s="100"/>
      <c r="L1907" s="100"/>
      <c r="M1907" s="100"/>
    </row>
    <row r="1908" spans="4:13" s="104" customFormat="1">
      <c r="D1908" s="148"/>
      <c r="E1908" s="100"/>
      <c r="F1908" s="100"/>
      <c r="G1908" s="100"/>
      <c r="H1908" s="148"/>
      <c r="I1908" s="100"/>
      <c r="J1908" s="100"/>
      <c r="K1908" s="100"/>
      <c r="L1908" s="100"/>
      <c r="M1908" s="100"/>
    </row>
    <row r="1909" spans="4:13" s="104" customFormat="1">
      <c r="D1909" s="148"/>
      <c r="E1909" s="100"/>
      <c r="F1909" s="100"/>
      <c r="G1909" s="100"/>
      <c r="H1909" s="148"/>
      <c r="I1909" s="100"/>
      <c r="J1909" s="100"/>
      <c r="K1909" s="100"/>
      <c r="L1909" s="100"/>
      <c r="M1909" s="100"/>
    </row>
    <row r="1910" spans="4:13" s="104" customFormat="1">
      <c r="D1910" s="148"/>
      <c r="E1910" s="100"/>
      <c r="F1910" s="100"/>
      <c r="G1910" s="100"/>
      <c r="H1910" s="148"/>
      <c r="I1910" s="100"/>
      <c r="J1910" s="100"/>
      <c r="K1910" s="100"/>
      <c r="L1910" s="100"/>
      <c r="M1910" s="100"/>
    </row>
    <row r="1911" spans="4:13" s="104" customFormat="1">
      <c r="D1911" s="148"/>
      <c r="E1911" s="100"/>
      <c r="F1911" s="100"/>
      <c r="G1911" s="100"/>
      <c r="H1911" s="148"/>
      <c r="I1911" s="100"/>
      <c r="J1911" s="100"/>
      <c r="K1911" s="100"/>
      <c r="L1911" s="100"/>
      <c r="M1911" s="100"/>
    </row>
    <row r="1912" spans="4:13" s="104" customFormat="1">
      <c r="D1912" s="148"/>
      <c r="E1912" s="100"/>
      <c r="F1912" s="100"/>
      <c r="G1912" s="100"/>
      <c r="H1912" s="148"/>
      <c r="I1912" s="100"/>
      <c r="J1912" s="100"/>
      <c r="K1912" s="100"/>
      <c r="L1912" s="100"/>
      <c r="M1912" s="100"/>
    </row>
    <row r="1913" spans="4:13" s="104" customFormat="1">
      <c r="D1913" s="148"/>
      <c r="E1913" s="100"/>
      <c r="F1913" s="100"/>
      <c r="G1913" s="100"/>
      <c r="H1913" s="148"/>
      <c r="I1913" s="100"/>
      <c r="J1913" s="100"/>
      <c r="K1913" s="100"/>
      <c r="L1913" s="100"/>
      <c r="M1913" s="100"/>
    </row>
    <row r="1914" spans="4:13" s="104" customFormat="1">
      <c r="D1914" s="148"/>
      <c r="E1914" s="100"/>
      <c r="F1914" s="100"/>
      <c r="G1914" s="100"/>
      <c r="H1914" s="148"/>
      <c r="I1914" s="100"/>
      <c r="J1914" s="100"/>
      <c r="K1914" s="100"/>
      <c r="L1914" s="100"/>
      <c r="M1914" s="100"/>
    </row>
    <row r="1915" spans="4:13" s="104" customFormat="1">
      <c r="D1915" s="148"/>
      <c r="E1915" s="100"/>
      <c r="F1915" s="100"/>
      <c r="G1915" s="100"/>
      <c r="H1915" s="148"/>
      <c r="I1915" s="100"/>
      <c r="J1915" s="100"/>
      <c r="K1915" s="100"/>
      <c r="L1915" s="100"/>
      <c r="M1915" s="100"/>
    </row>
    <row r="1916" spans="4:13" s="104" customFormat="1">
      <c r="D1916" s="148"/>
      <c r="E1916" s="100"/>
      <c r="F1916" s="100"/>
      <c r="G1916" s="100"/>
      <c r="H1916" s="148"/>
      <c r="I1916" s="100"/>
      <c r="J1916" s="100"/>
      <c r="K1916" s="100"/>
      <c r="L1916" s="100"/>
      <c r="M1916" s="100"/>
    </row>
    <row r="1917" spans="4:13" s="104" customFormat="1">
      <c r="D1917" s="148"/>
      <c r="E1917" s="100"/>
      <c r="F1917" s="100"/>
      <c r="G1917" s="100"/>
      <c r="H1917" s="148"/>
      <c r="I1917" s="100"/>
      <c r="J1917" s="100"/>
      <c r="K1917" s="100"/>
      <c r="L1917" s="100"/>
      <c r="M1917" s="100"/>
    </row>
    <row r="1918" spans="4:13" s="104" customFormat="1">
      <c r="D1918" s="148"/>
      <c r="E1918" s="100"/>
      <c r="F1918" s="100"/>
      <c r="G1918" s="100"/>
      <c r="H1918" s="148"/>
      <c r="I1918" s="100"/>
      <c r="J1918" s="100"/>
      <c r="K1918" s="100"/>
      <c r="L1918" s="100"/>
      <c r="M1918" s="100"/>
    </row>
    <row r="1919" spans="4:13" s="104" customFormat="1">
      <c r="D1919" s="148"/>
      <c r="E1919" s="100"/>
      <c r="F1919" s="100"/>
      <c r="G1919" s="100"/>
      <c r="H1919" s="148"/>
      <c r="I1919" s="100"/>
      <c r="J1919" s="100"/>
      <c r="K1919" s="100"/>
      <c r="L1919" s="100"/>
      <c r="M1919" s="100"/>
    </row>
    <row r="1920" spans="4:13" s="104" customFormat="1">
      <c r="D1920" s="148"/>
      <c r="E1920" s="100"/>
      <c r="F1920" s="100"/>
      <c r="G1920" s="100"/>
      <c r="H1920" s="148"/>
      <c r="I1920" s="100"/>
      <c r="J1920" s="100"/>
      <c r="K1920" s="100"/>
      <c r="L1920" s="100"/>
      <c r="M1920" s="100"/>
    </row>
    <row r="1921" spans="4:13" s="104" customFormat="1">
      <c r="D1921" s="148"/>
      <c r="E1921" s="100"/>
      <c r="F1921" s="100"/>
      <c r="G1921" s="100"/>
      <c r="H1921" s="148"/>
      <c r="I1921" s="100"/>
      <c r="J1921" s="100"/>
      <c r="K1921" s="100"/>
      <c r="L1921" s="100"/>
      <c r="M1921" s="100"/>
    </row>
    <row r="1922" spans="4:13" s="104" customFormat="1">
      <c r="D1922" s="148"/>
      <c r="E1922" s="100"/>
      <c r="F1922" s="100"/>
      <c r="G1922" s="100"/>
      <c r="H1922" s="148"/>
      <c r="I1922" s="100"/>
      <c r="J1922" s="100"/>
      <c r="K1922" s="100"/>
      <c r="L1922" s="100"/>
      <c r="M1922" s="100"/>
    </row>
    <row r="1923" spans="4:13" s="104" customFormat="1">
      <c r="D1923" s="148"/>
      <c r="E1923" s="100"/>
      <c r="F1923" s="100"/>
      <c r="G1923" s="100"/>
      <c r="H1923" s="148"/>
      <c r="I1923" s="100"/>
      <c r="J1923" s="100"/>
      <c r="K1923" s="100"/>
      <c r="L1923" s="100"/>
      <c r="M1923" s="100"/>
    </row>
    <row r="1924" spans="4:13" s="104" customFormat="1">
      <c r="D1924" s="148"/>
      <c r="E1924" s="100"/>
      <c r="F1924" s="100"/>
      <c r="G1924" s="100"/>
      <c r="H1924" s="148"/>
      <c r="I1924" s="100"/>
      <c r="J1924" s="100"/>
      <c r="K1924" s="100"/>
      <c r="L1924" s="100"/>
      <c r="M1924" s="100"/>
    </row>
    <row r="1925" spans="4:13" s="104" customFormat="1">
      <c r="D1925" s="148"/>
      <c r="E1925" s="100"/>
      <c r="F1925" s="100"/>
      <c r="G1925" s="100"/>
      <c r="H1925" s="148"/>
      <c r="I1925" s="100"/>
      <c r="J1925" s="100"/>
      <c r="K1925" s="100"/>
      <c r="L1925" s="100"/>
      <c r="M1925" s="100"/>
    </row>
    <row r="1926" spans="4:13" s="104" customFormat="1">
      <c r="D1926" s="148"/>
      <c r="E1926" s="100"/>
      <c r="F1926" s="100"/>
      <c r="G1926" s="100"/>
      <c r="H1926" s="148"/>
      <c r="I1926" s="100"/>
      <c r="J1926" s="100"/>
      <c r="K1926" s="100"/>
      <c r="L1926" s="100"/>
      <c r="M1926" s="100"/>
    </row>
    <row r="1927" spans="4:13" s="104" customFormat="1">
      <c r="D1927" s="148"/>
      <c r="E1927" s="100"/>
      <c r="F1927" s="100"/>
      <c r="G1927" s="100"/>
      <c r="H1927" s="148"/>
      <c r="I1927" s="100"/>
      <c r="J1927" s="100"/>
      <c r="K1927" s="100"/>
      <c r="L1927" s="100"/>
      <c r="M1927" s="100"/>
    </row>
    <row r="1928" spans="4:13" s="104" customFormat="1">
      <c r="D1928" s="148"/>
      <c r="E1928" s="100"/>
      <c r="F1928" s="100"/>
      <c r="G1928" s="100"/>
      <c r="H1928" s="148"/>
      <c r="I1928" s="100"/>
      <c r="J1928" s="100"/>
      <c r="K1928" s="100"/>
      <c r="L1928" s="100"/>
      <c r="M1928" s="100"/>
    </row>
    <row r="1929" spans="4:13" s="104" customFormat="1">
      <c r="D1929" s="148"/>
      <c r="E1929" s="100"/>
      <c r="F1929" s="100"/>
      <c r="G1929" s="100"/>
      <c r="H1929" s="148"/>
      <c r="I1929" s="100"/>
      <c r="J1929" s="100"/>
      <c r="K1929" s="100"/>
      <c r="L1929" s="100"/>
      <c r="M1929" s="100"/>
    </row>
    <row r="1930" spans="4:13" s="104" customFormat="1">
      <c r="D1930" s="148"/>
      <c r="E1930" s="100"/>
      <c r="F1930" s="100"/>
      <c r="G1930" s="100"/>
      <c r="H1930" s="148"/>
      <c r="I1930" s="100"/>
      <c r="J1930" s="100"/>
      <c r="K1930" s="100"/>
      <c r="L1930" s="100"/>
      <c r="M1930" s="100"/>
    </row>
    <row r="1931" spans="4:13" s="104" customFormat="1">
      <c r="D1931" s="148"/>
      <c r="E1931" s="100"/>
      <c r="F1931" s="100"/>
      <c r="G1931" s="100"/>
      <c r="H1931" s="148"/>
      <c r="I1931" s="100"/>
      <c r="J1931" s="100"/>
      <c r="K1931" s="100"/>
      <c r="L1931" s="100"/>
      <c r="M1931" s="100"/>
    </row>
    <row r="1932" spans="4:13" s="104" customFormat="1">
      <c r="D1932" s="148"/>
      <c r="E1932" s="100"/>
      <c r="F1932" s="100"/>
      <c r="G1932" s="100"/>
      <c r="H1932" s="148"/>
      <c r="I1932" s="100"/>
      <c r="J1932" s="100"/>
      <c r="K1932" s="100"/>
      <c r="L1932" s="100"/>
      <c r="M1932" s="100"/>
    </row>
    <row r="1933" spans="4:13" s="104" customFormat="1">
      <c r="D1933" s="148"/>
      <c r="E1933" s="100"/>
      <c r="F1933" s="100"/>
      <c r="G1933" s="100"/>
      <c r="H1933" s="148"/>
      <c r="I1933" s="100"/>
      <c r="J1933" s="100"/>
      <c r="K1933" s="100"/>
      <c r="L1933" s="100"/>
      <c r="M1933" s="100"/>
    </row>
    <row r="1934" spans="4:13" s="104" customFormat="1">
      <c r="D1934" s="148"/>
      <c r="E1934" s="100"/>
      <c r="F1934" s="100"/>
      <c r="G1934" s="100"/>
      <c r="H1934" s="148"/>
      <c r="I1934" s="100"/>
      <c r="J1934" s="100"/>
      <c r="K1934" s="100"/>
      <c r="L1934" s="100"/>
      <c r="M1934" s="100"/>
    </row>
    <row r="1935" spans="4:13" s="104" customFormat="1">
      <c r="D1935" s="148"/>
      <c r="E1935" s="100"/>
      <c r="F1935" s="100"/>
      <c r="G1935" s="100"/>
      <c r="H1935" s="148"/>
      <c r="I1935" s="100"/>
      <c r="J1935" s="100"/>
      <c r="K1935" s="100"/>
      <c r="L1935" s="100"/>
      <c r="M1935" s="100"/>
    </row>
    <row r="1936" spans="4:13" s="104" customFormat="1">
      <c r="D1936" s="148"/>
      <c r="E1936" s="100"/>
      <c r="F1936" s="100"/>
      <c r="G1936" s="100"/>
      <c r="H1936" s="148"/>
      <c r="I1936" s="100"/>
      <c r="J1936" s="100"/>
      <c r="K1936" s="100"/>
      <c r="L1936" s="100"/>
      <c r="M1936" s="100"/>
    </row>
    <row r="1937" spans="4:13" s="104" customFormat="1">
      <c r="D1937" s="148"/>
      <c r="E1937" s="100"/>
      <c r="F1937" s="100"/>
      <c r="G1937" s="100"/>
      <c r="H1937" s="148"/>
      <c r="I1937" s="100"/>
      <c r="J1937" s="100"/>
      <c r="K1937" s="100"/>
      <c r="L1937" s="100"/>
      <c r="M1937" s="100"/>
    </row>
    <row r="1938" spans="4:13" s="104" customFormat="1">
      <c r="D1938" s="148"/>
      <c r="E1938" s="100"/>
      <c r="F1938" s="100"/>
      <c r="G1938" s="100"/>
      <c r="H1938" s="148"/>
      <c r="I1938" s="100"/>
      <c r="J1938" s="100"/>
      <c r="K1938" s="100"/>
      <c r="L1938" s="100"/>
      <c r="M1938" s="100"/>
    </row>
    <row r="1939" spans="4:13" s="104" customFormat="1">
      <c r="D1939" s="148"/>
      <c r="E1939" s="100"/>
      <c r="F1939" s="100"/>
      <c r="G1939" s="100"/>
      <c r="H1939" s="148"/>
      <c r="I1939" s="100"/>
      <c r="J1939" s="100"/>
      <c r="K1939" s="100"/>
      <c r="L1939" s="100"/>
      <c r="M1939" s="100"/>
    </row>
    <row r="1940" spans="4:13" s="104" customFormat="1">
      <c r="D1940" s="148"/>
      <c r="E1940" s="100"/>
      <c r="F1940" s="100"/>
      <c r="G1940" s="100"/>
      <c r="H1940" s="148"/>
      <c r="I1940" s="100"/>
      <c r="J1940" s="100"/>
      <c r="K1940" s="100"/>
      <c r="L1940" s="100"/>
      <c r="M1940" s="100"/>
    </row>
    <row r="1941" spans="4:13" s="104" customFormat="1">
      <c r="D1941" s="148"/>
      <c r="E1941" s="100"/>
      <c r="F1941" s="100"/>
      <c r="G1941" s="100"/>
      <c r="H1941" s="148"/>
      <c r="I1941" s="100"/>
      <c r="J1941" s="100"/>
      <c r="K1941" s="100"/>
      <c r="L1941" s="100"/>
      <c r="M1941" s="100"/>
    </row>
    <row r="1942" spans="4:13" s="104" customFormat="1">
      <c r="D1942" s="148"/>
      <c r="E1942" s="100"/>
      <c r="F1942" s="100"/>
      <c r="G1942" s="100"/>
      <c r="H1942" s="148"/>
      <c r="I1942" s="100"/>
      <c r="J1942" s="100"/>
      <c r="K1942" s="100"/>
      <c r="L1942" s="100"/>
      <c r="M1942" s="100"/>
    </row>
    <row r="1943" spans="4:13" s="104" customFormat="1">
      <c r="D1943" s="148"/>
      <c r="E1943" s="100"/>
      <c r="F1943" s="100"/>
      <c r="G1943" s="100"/>
      <c r="H1943" s="148"/>
      <c r="I1943" s="100"/>
      <c r="J1943" s="100"/>
      <c r="K1943" s="100"/>
      <c r="L1943" s="100"/>
      <c r="M1943" s="100"/>
    </row>
    <row r="1944" spans="4:13" s="104" customFormat="1">
      <c r="D1944" s="148"/>
      <c r="E1944" s="100"/>
      <c r="F1944" s="100"/>
      <c r="G1944" s="100"/>
      <c r="H1944" s="148"/>
      <c r="I1944" s="100"/>
      <c r="J1944" s="100"/>
      <c r="K1944" s="100"/>
      <c r="L1944" s="100"/>
      <c r="M1944" s="100"/>
    </row>
    <row r="1945" spans="4:13" s="104" customFormat="1">
      <c r="D1945" s="148"/>
      <c r="E1945" s="100"/>
      <c r="F1945" s="100"/>
      <c r="G1945" s="100"/>
      <c r="H1945" s="148"/>
      <c r="I1945" s="100"/>
      <c r="J1945" s="100"/>
      <c r="K1945" s="100"/>
      <c r="L1945" s="100"/>
      <c r="M1945" s="100"/>
    </row>
    <row r="1946" spans="4:13" s="104" customFormat="1">
      <c r="D1946" s="148"/>
      <c r="E1946" s="100"/>
      <c r="F1946" s="100"/>
      <c r="G1946" s="100"/>
      <c r="H1946" s="148"/>
      <c r="I1946" s="100"/>
      <c r="J1946" s="100"/>
      <c r="K1946" s="100"/>
      <c r="L1946" s="100"/>
      <c r="M1946" s="100"/>
    </row>
    <row r="1947" spans="4:13" s="104" customFormat="1">
      <c r="D1947" s="148"/>
      <c r="E1947" s="100"/>
      <c r="F1947" s="100"/>
      <c r="G1947" s="100"/>
      <c r="H1947" s="148"/>
      <c r="I1947" s="100"/>
      <c r="J1947" s="100"/>
      <c r="K1947" s="100"/>
      <c r="L1947" s="100"/>
      <c r="M1947" s="100"/>
    </row>
    <row r="1948" spans="4:13" s="104" customFormat="1">
      <c r="D1948" s="148"/>
      <c r="E1948" s="100"/>
      <c r="F1948" s="100"/>
      <c r="G1948" s="100"/>
      <c r="H1948" s="148"/>
      <c r="I1948" s="100"/>
      <c r="J1948" s="100"/>
      <c r="K1948" s="100"/>
      <c r="L1948" s="100"/>
      <c r="M1948" s="100"/>
    </row>
    <row r="1949" spans="4:13" s="104" customFormat="1">
      <c r="D1949" s="148"/>
      <c r="E1949" s="100"/>
      <c r="F1949" s="100"/>
      <c r="G1949" s="100"/>
      <c r="H1949" s="148"/>
      <c r="I1949" s="100"/>
      <c r="J1949" s="100"/>
      <c r="K1949" s="100"/>
      <c r="L1949" s="100"/>
      <c r="M1949" s="100"/>
    </row>
    <row r="1950" spans="4:13" s="104" customFormat="1">
      <c r="D1950" s="148"/>
      <c r="E1950" s="100"/>
      <c r="F1950" s="100"/>
      <c r="G1950" s="100"/>
      <c r="H1950" s="148"/>
      <c r="I1950" s="100"/>
      <c r="J1950" s="100"/>
      <c r="K1950" s="100"/>
      <c r="L1950" s="100"/>
      <c r="M1950" s="100"/>
    </row>
    <row r="1951" spans="4:13" s="104" customFormat="1">
      <c r="D1951" s="148"/>
      <c r="E1951" s="100"/>
      <c r="F1951" s="100"/>
      <c r="G1951" s="100"/>
      <c r="H1951" s="148"/>
      <c r="I1951" s="100"/>
      <c r="J1951" s="100"/>
      <c r="K1951" s="100"/>
      <c r="L1951" s="100"/>
      <c r="M1951" s="100"/>
    </row>
    <row r="1952" spans="4:13" s="104" customFormat="1">
      <c r="D1952" s="148"/>
      <c r="E1952" s="100"/>
      <c r="F1952" s="100"/>
      <c r="G1952" s="100"/>
      <c r="H1952" s="148"/>
      <c r="I1952" s="100"/>
      <c r="J1952" s="100"/>
      <c r="K1952" s="100"/>
      <c r="L1952" s="100"/>
      <c r="M1952" s="100"/>
    </row>
    <row r="1953" spans="4:13" s="104" customFormat="1">
      <c r="D1953" s="148"/>
      <c r="E1953" s="100"/>
      <c r="F1953" s="100"/>
      <c r="G1953" s="100"/>
      <c r="H1953" s="148"/>
      <c r="I1953" s="100"/>
      <c r="J1953" s="100"/>
      <c r="K1953" s="100"/>
      <c r="L1953" s="100"/>
      <c r="M1953" s="100"/>
    </row>
    <row r="1954" spans="4:13" s="104" customFormat="1">
      <c r="D1954" s="148"/>
      <c r="E1954" s="100"/>
      <c r="F1954" s="100"/>
      <c r="G1954" s="100"/>
      <c r="H1954" s="148"/>
      <c r="I1954" s="100"/>
      <c r="J1954" s="100"/>
      <c r="K1954" s="100"/>
      <c r="L1954" s="100"/>
      <c r="M1954" s="100"/>
    </row>
    <row r="1955" spans="4:13" s="104" customFormat="1">
      <c r="D1955" s="148"/>
      <c r="E1955" s="100"/>
      <c r="F1955" s="100"/>
      <c r="G1955" s="100"/>
      <c r="H1955" s="148"/>
      <c r="I1955" s="100"/>
      <c r="J1955" s="100"/>
      <c r="K1955" s="100"/>
      <c r="L1955" s="100"/>
      <c r="M1955" s="100"/>
    </row>
    <row r="1956" spans="4:13" s="104" customFormat="1">
      <c r="D1956" s="148"/>
      <c r="E1956" s="100"/>
      <c r="F1956" s="100"/>
      <c r="G1956" s="100"/>
      <c r="H1956" s="148"/>
      <c r="I1956" s="100"/>
      <c r="J1956" s="100"/>
      <c r="K1956" s="100"/>
      <c r="L1956" s="100"/>
      <c r="M1956" s="100"/>
    </row>
    <row r="1957" spans="4:13" s="104" customFormat="1">
      <c r="D1957" s="148"/>
      <c r="E1957" s="100"/>
      <c r="F1957" s="100"/>
      <c r="G1957" s="100"/>
      <c r="H1957" s="148"/>
      <c r="I1957" s="100"/>
      <c r="J1957" s="100"/>
      <c r="K1957" s="100"/>
      <c r="L1957" s="100"/>
      <c r="M1957" s="100"/>
    </row>
    <row r="1958" spans="4:13" s="104" customFormat="1">
      <c r="D1958" s="148"/>
      <c r="E1958" s="100"/>
      <c r="F1958" s="100"/>
      <c r="G1958" s="100"/>
      <c r="H1958" s="148"/>
      <c r="I1958" s="100"/>
      <c r="J1958" s="100"/>
      <c r="K1958" s="100"/>
      <c r="L1958" s="100"/>
      <c r="M1958" s="100"/>
    </row>
    <row r="1959" spans="4:13" s="104" customFormat="1">
      <c r="D1959" s="148"/>
      <c r="E1959" s="100"/>
      <c r="F1959" s="100"/>
      <c r="G1959" s="100"/>
      <c r="H1959" s="148"/>
      <c r="I1959" s="100"/>
      <c r="J1959" s="100"/>
      <c r="K1959" s="100"/>
      <c r="L1959" s="100"/>
      <c r="M1959" s="100"/>
    </row>
    <row r="1960" spans="4:13" s="104" customFormat="1">
      <c r="D1960" s="148"/>
      <c r="E1960" s="100"/>
      <c r="F1960" s="100"/>
      <c r="G1960" s="100"/>
      <c r="H1960" s="148"/>
      <c r="I1960" s="100"/>
      <c r="J1960" s="100"/>
      <c r="K1960" s="100"/>
      <c r="L1960" s="100"/>
      <c r="M1960" s="100"/>
    </row>
    <row r="1961" spans="4:13" s="104" customFormat="1">
      <c r="D1961" s="148"/>
      <c r="E1961" s="100"/>
      <c r="F1961" s="100"/>
      <c r="G1961" s="100"/>
      <c r="H1961" s="148"/>
      <c r="I1961" s="100"/>
      <c r="J1961" s="100"/>
      <c r="K1961" s="100"/>
      <c r="L1961" s="100"/>
      <c r="M1961" s="100"/>
    </row>
    <row r="1962" spans="4:13" s="104" customFormat="1">
      <c r="D1962" s="148"/>
      <c r="E1962" s="100"/>
      <c r="F1962" s="100"/>
      <c r="G1962" s="100"/>
      <c r="H1962" s="148"/>
      <c r="I1962" s="100"/>
      <c r="J1962" s="100"/>
      <c r="K1962" s="100"/>
      <c r="L1962" s="100"/>
      <c r="M1962" s="100"/>
    </row>
    <row r="1963" spans="4:13" s="104" customFormat="1">
      <c r="D1963" s="148"/>
      <c r="E1963" s="100"/>
      <c r="F1963" s="100"/>
      <c r="G1963" s="100"/>
      <c r="H1963" s="148"/>
      <c r="I1963" s="100"/>
      <c r="J1963" s="100"/>
      <c r="K1963" s="100"/>
      <c r="L1963" s="100"/>
      <c r="M1963" s="100"/>
    </row>
    <row r="1964" spans="4:13" s="104" customFormat="1">
      <c r="D1964" s="148"/>
      <c r="E1964" s="100"/>
      <c r="F1964" s="100"/>
      <c r="G1964" s="100"/>
      <c r="H1964" s="148"/>
      <c r="I1964" s="100"/>
      <c r="J1964" s="100"/>
      <c r="K1964" s="100"/>
      <c r="L1964" s="100"/>
      <c r="M1964" s="100"/>
    </row>
    <row r="1965" spans="4:13" s="104" customFormat="1">
      <c r="D1965" s="148"/>
      <c r="E1965" s="100"/>
      <c r="F1965" s="100"/>
      <c r="G1965" s="100"/>
      <c r="H1965" s="148"/>
      <c r="I1965" s="100"/>
      <c r="J1965" s="100"/>
      <c r="K1965" s="100"/>
      <c r="L1965" s="100"/>
      <c r="M1965" s="100"/>
    </row>
    <row r="1966" spans="4:13" s="104" customFormat="1">
      <c r="D1966" s="148"/>
      <c r="E1966" s="100"/>
      <c r="F1966" s="100"/>
      <c r="G1966" s="100"/>
      <c r="H1966" s="148"/>
      <c r="I1966" s="100"/>
      <c r="J1966" s="100"/>
      <c r="K1966" s="100"/>
      <c r="L1966" s="100"/>
      <c r="M1966" s="100"/>
    </row>
    <row r="1967" spans="4:13" s="104" customFormat="1">
      <c r="D1967" s="148"/>
      <c r="E1967" s="100"/>
      <c r="F1967" s="100"/>
      <c r="G1967" s="100"/>
      <c r="H1967" s="148"/>
      <c r="I1967" s="100"/>
      <c r="J1967" s="100"/>
      <c r="K1967" s="100"/>
      <c r="L1967" s="100"/>
      <c r="M1967" s="100"/>
    </row>
    <row r="1968" spans="4:13" s="104" customFormat="1">
      <c r="D1968" s="148"/>
      <c r="E1968" s="100"/>
      <c r="F1968" s="100"/>
      <c r="G1968" s="100"/>
      <c r="H1968" s="148"/>
      <c r="I1968" s="100"/>
      <c r="J1968" s="100"/>
      <c r="K1968" s="100"/>
      <c r="L1968" s="100"/>
      <c r="M1968" s="100"/>
    </row>
    <row r="1969" spans="4:13" s="104" customFormat="1">
      <c r="D1969" s="148"/>
      <c r="E1969" s="100"/>
      <c r="F1969" s="100"/>
      <c r="G1969" s="100"/>
      <c r="H1969" s="148"/>
      <c r="I1969" s="100"/>
      <c r="J1969" s="100"/>
      <c r="K1969" s="100"/>
      <c r="L1969" s="100"/>
      <c r="M1969" s="100"/>
    </row>
    <row r="1970" spans="4:13" s="104" customFormat="1">
      <c r="D1970" s="148"/>
      <c r="E1970" s="100"/>
      <c r="F1970" s="100"/>
      <c r="G1970" s="100"/>
      <c r="H1970" s="148"/>
      <c r="I1970" s="100"/>
      <c r="J1970" s="100"/>
      <c r="K1970" s="100"/>
      <c r="L1970" s="100"/>
      <c r="M1970" s="100"/>
    </row>
    <row r="1971" spans="4:13" s="104" customFormat="1">
      <c r="D1971" s="148"/>
      <c r="E1971" s="100"/>
      <c r="F1971" s="100"/>
      <c r="G1971" s="100"/>
      <c r="H1971" s="148"/>
      <c r="I1971" s="100"/>
      <c r="J1971" s="100"/>
      <c r="K1971" s="100"/>
      <c r="L1971" s="100"/>
      <c r="M1971" s="100"/>
    </row>
    <row r="1972" spans="4:13" s="104" customFormat="1">
      <c r="D1972" s="148"/>
      <c r="E1972" s="100"/>
      <c r="F1972" s="100"/>
      <c r="G1972" s="100"/>
      <c r="H1972" s="148"/>
      <c r="I1972" s="100"/>
      <c r="J1972" s="100"/>
      <c r="K1972" s="100"/>
      <c r="L1972" s="100"/>
      <c r="M1972" s="100"/>
    </row>
    <row r="1973" spans="4:13" s="104" customFormat="1">
      <c r="D1973" s="148"/>
      <c r="E1973" s="100"/>
      <c r="F1973" s="100"/>
      <c r="G1973" s="100"/>
      <c r="H1973" s="148"/>
      <c r="I1973" s="100"/>
      <c r="J1973" s="100"/>
      <c r="K1973" s="100"/>
      <c r="L1973" s="100"/>
      <c r="M1973" s="100"/>
    </row>
    <row r="1974" spans="4:13" s="104" customFormat="1">
      <c r="D1974" s="148"/>
      <c r="E1974" s="100"/>
      <c r="F1974" s="100"/>
      <c r="G1974" s="100"/>
      <c r="H1974" s="148"/>
      <c r="I1974" s="100"/>
      <c r="J1974" s="100"/>
      <c r="K1974" s="100"/>
      <c r="L1974" s="100"/>
      <c r="M1974" s="100"/>
    </row>
    <row r="1975" spans="4:13" s="104" customFormat="1">
      <c r="D1975" s="148"/>
      <c r="E1975" s="100"/>
      <c r="F1975" s="100"/>
      <c r="G1975" s="100"/>
      <c r="H1975" s="148"/>
      <c r="I1975" s="100"/>
      <c r="J1975" s="100"/>
      <c r="K1975" s="100"/>
      <c r="L1975" s="100"/>
      <c r="M1975" s="100"/>
    </row>
    <row r="1976" spans="4:13" s="104" customFormat="1">
      <c r="D1976" s="148"/>
      <c r="E1976" s="100"/>
      <c r="F1976" s="100"/>
      <c r="G1976" s="100"/>
      <c r="H1976" s="148"/>
      <c r="I1976" s="100"/>
      <c r="J1976" s="100"/>
      <c r="K1976" s="100"/>
      <c r="L1976" s="100"/>
      <c r="M1976" s="100"/>
    </row>
    <row r="1977" spans="4:13" s="104" customFormat="1">
      <c r="D1977" s="148"/>
      <c r="E1977" s="100"/>
      <c r="F1977" s="100"/>
      <c r="G1977" s="100"/>
      <c r="H1977" s="148"/>
      <c r="I1977" s="100"/>
      <c r="J1977" s="100"/>
      <c r="K1977" s="100"/>
      <c r="L1977" s="100"/>
      <c r="M1977" s="100"/>
    </row>
    <row r="1978" spans="4:13" s="104" customFormat="1">
      <c r="D1978" s="148"/>
      <c r="E1978" s="100"/>
      <c r="F1978" s="100"/>
      <c r="G1978" s="100"/>
      <c r="H1978" s="148"/>
      <c r="I1978" s="100"/>
      <c r="J1978" s="100"/>
      <c r="K1978" s="100"/>
      <c r="L1978" s="100"/>
      <c r="M1978" s="100"/>
    </row>
    <row r="1979" spans="4:13" s="104" customFormat="1">
      <c r="D1979" s="148"/>
      <c r="E1979" s="100"/>
      <c r="F1979" s="100"/>
      <c r="G1979" s="100"/>
      <c r="H1979" s="148"/>
      <c r="I1979" s="100"/>
      <c r="J1979" s="100"/>
      <c r="K1979" s="100"/>
      <c r="L1979" s="100"/>
      <c r="M1979" s="100"/>
    </row>
    <row r="1980" spans="4:13" s="104" customFormat="1">
      <c r="D1980" s="148"/>
      <c r="E1980" s="100"/>
      <c r="F1980" s="100"/>
      <c r="G1980" s="100"/>
      <c r="H1980" s="148"/>
      <c r="I1980" s="100"/>
      <c r="J1980" s="100"/>
      <c r="K1980" s="100"/>
      <c r="L1980" s="100"/>
      <c r="M1980" s="100"/>
    </row>
    <row r="1981" spans="4:13" s="104" customFormat="1">
      <c r="D1981" s="148"/>
      <c r="E1981" s="100"/>
      <c r="F1981" s="100"/>
      <c r="G1981" s="100"/>
      <c r="H1981" s="148"/>
      <c r="I1981" s="100"/>
      <c r="J1981" s="100"/>
      <c r="K1981" s="100"/>
      <c r="L1981" s="100"/>
      <c r="M1981" s="100"/>
    </row>
    <row r="1982" spans="4:13" s="104" customFormat="1">
      <c r="D1982" s="148"/>
      <c r="E1982" s="100"/>
      <c r="F1982" s="100"/>
      <c r="G1982" s="100"/>
      <c r="H1982" s="148"/>
      <c r="I1982" s="100"/>
      <c r="J1982" s="100"/>
      <c r="K1982" s="100"/>
      <c r="L1982" s="100"/>
      <c r="M1982" s="100"/>
    </row>
    <row r="1983" spans="4:13" s="104" customFormat="1">
      <c r="D1983" s="148"/>
      <c r="E1983" s="100"/>
      <c r="F1983" s="100"/>
      <c r="G1983" s="100"/>
      <c r="H1983" s="148"/>
      <c r="I1983" s="100"/>
      <c r="J1983" s="100"/>
      <c r="K1983" s="100"/>
      <c r="L1983" s="100"/>
      <c r="M1983" s="100"/>
    </row>
    <row r="1984" spans="4:13" s="104" customFormat="1">
      <c r="D1984" s="148"/>
      <c r="E1984" s="100"/>
      <c r="F1984" s="100"/>
      <c r="G1984" s="100"/>
      <c r="H1984" s="148"/>
      <c r="I1984" s="100"/>
      <c r="J1984" s="100"/>
      <c r="K1984" s="100"/>
      <c r="L1984" s="100"/>
      <c r="M1984" s="100"/>
    </row>
    <row r="1985" spans="4:13" s="104" customFormat="1">
      <c r="D1985" s="148"/>
      <c r="E1985" s="100"/>
      <c r="F1985" s="100"/>
      <c r="G1985" s="100"/>
      <c r="H1985" s="148"/>
      <c r="I1985" s="100"/>
      <c r="J1985" s="100"/>
      <c r="K1985" s="100"/>
      <c r="L1985" s="100"/>
      <c r="M1985" s="100"/>
    </row>
    <row r="1986" spans="4:13" s="104" customFormat="1">
      <c r="D1986" s="148"/>
      <c r="E1986" s="100"/>
      <c r="F1986" s="100"/>
      <c r="G1986" s="100"/>
      <c r="H1986" s="148"/>
      <c r="I1986" s="100"/>
      <c r="J1986" s="100"/>
      <c r="K1986" s="100"/>
      <c r="L1986" s="100"/>
      <c r="M1986" s="100"/>
    </row>
    <row r="1987" spans="4:13" s="104" customFormat="1">
      <c r="D1987" s="148"/>
      <c r="E1987" s="100"/>
      <c r="F1987" s="100"/>
      <c r="G1987" s="100"/>
      <c r="H1987" s="148"/>
      <c r="I1987" s="100"/>
      <c r="J1987" s="100"/>
      <c r="K1987" s="100"/>
      <c r="L1987" s="100"/>
      <c r="M1987" s="100"/>
    </row>
    <row r="1988" spans="4:13" s="104" customFormat="1">
      <c r="D1988" s="148"/>
      <c r="E1988" s="100"/>
      <c r="F1988" s="100"/>
      <c r="G1988" s="100"/>
      <c r="H1988" s="148"/>
      <c r="I1988" s="100"/>
      <c r="J1988" s="100"/>
      <c r="K1988" s="100"/>
      <c r="L1988" s="100"/>
      <c r="M1988" s="100"/>
    </row>
    <row r="1989" spans="4:13" s="104" customFormat="1">
      <c r="D1989" s="148"/>
      <c r="E1989" s="100"/>
      <c r="F1989" s="100"/>
      <c r="G1989" s="100"/>
      <c r="H1989" s="148"/>
      <c r="I1989" s="100"/>
      <c r="J1989" s="100"/>
      <c r="K1989" s="100"/>
      <c r="L1989" s="100"/>
      <c r="M1989" s="100"/>
    </row>
    <row r="1990" spans="4:13" s="104" customFormat="1">
      <c r="D1990" s="148"/>
      <c r="E1990" s="100"/>
      <c r="F1990" s="100"/>
      <c r="G1990" s="100"/>
      <c r="H1990" s="148"/>
      <c r="I1990" s="100"/>
      <c r="J1990" s="100"/>
      <c r="K1990" s="100"/>
      <c r="L1990" s="100"/>
      <c r="M1990" s="100"/>
    </row>
    <row r="1991" spans="4:13" s="104" customFormat="1">
      <c r="D1991" s="148"/>
      <c r="E1991" s="100"/>
      <c r="F1991" s="100"/>
      <c r="G1991" s="100"/>
      <c r="H1991" s="148"/>
      <c r="I1991" s="100"/>
      <c r="J1991" s="100"/>
      <c r="K1991" s="100"/>
      <c r="L1991" s="100"/>
      <c r="M1991" s="100"/>
    </row>
    <row r="1992" spans="4:13" s="104" customFormat="1">
      <c r="D1992" s="148"/>
      <c r="E1992" s="100"/>
      <c r="F1992" s="100"/>
      <c r="G1992" s="100"/>
      <c r="H1992" s="148"/>
      <c r="I1992" s="100"/>
      <c r="J1992" s="100"/>
      <c r="K1992" s="100"/>
      <c r="L1992" s="100"/>
      <c r="M1992" s="100"/>
    </row>
    <row r="1993" spans="4:13" s="104" customFormat="1">
      <c r="D1993" s="148"/>
      <c r="E1993" s="100"/>
      <c r="F1993" s="100"/>
      <c r="G1993" s="100"/>
      <c r="H1993" s="148"/>
      <c r="I1993" s="100"/>
      <c r="J1993" s="100"/>
      <c r="K1993" s="100"/>
      <c r="L1993" s="100"/>
      <c r="M1993" s="100"/>
    </row>
    <row r="1994" spans="4:13" s="104" customFormat="1">
      <c r="D1994" s="148"/>
      <c r="E1994" s="100"/>
      <c r="F1994" s="100"/>
      <c r="G1994" s="100"/>
      <c r="H1994" s="148"/>
      <c r="I1994" s="100"/>
      <c r="J1994" s="100"/>
      <c r="K1994" s="100"/>
      <c r="L1994" s="100"/>
      <c r="M1994" s="100"/>
    </row>
    <row r="1995" spans="4:13" s="104" customFormat="1">
      <c r="D1995" s="148"/>
      <c r="E1995" s="100"/>
      <c r="F1995" s="100"/>
      <c r="G1995" s="100"/>
      <c r="H1995" s="148"/>
      <c r="I1995" s="100"/>
      <c r="J1995" s="100"/>
      <c r="K1995" s="100"/>
      <c r="L1995" s="100"/>
      <c r="M1995" s="100"/>
    </row>
    <row r="1996" spans="4:13" s="104" customFormat="1">
      <c r="D1996" s="148"/>
      <c r="E1996" s="100"/>
      <c r="F1996" s="100"/>
      <c r="G1996" s="100"/>
      <c r="H1996" s="148"/>
      <c r="I1996" s="100"/>
      <c r="J1996" s="100"/>
      <c r="K1996" s="100"/>
      <c r="L1996" s="100"/>
      <c r="M1996" s="100"/>
    </row>
    <row r="1997" spans="4:13" s="104" customFormat="1">
      <c r="D1997" s="148"/>
      <c r="E1997" s="100"/>
      <c r="F1997" s="100"/>
      <c r="G1997" s="100"/>
      <c r="H1997" s="148"/>
      <c r="I1997" s="100"/>
      <c r="J1997" s="100"/>
      <c r="K1997" s="100"/>
      <c r="L1997" s="100"/>
      <c r="M1997" s="100"/>
    </row>
    <row r="1998" spans="4:13" s="104" customFormat="1">
      <c r="D1998" s="148"/>
      <c r="E1998" s="100"/>
      <c r="F1998" s="100"/>
      <c r="G1998" s="100"/>
      <c r="H1998" s="148"/>
      <c r="I1998" s="100"/>
      <c r="J1998" s="100"/>
      <c r="K1998" s="100"/>
      <c r="L1998" s="100"/>
      <c r="M1998" s="100"/>
    </row>
    <row r="1999" spans="4:13" s="104" customFormat="1">
      <c r="D1999" s="148"/>
      <c r="E1999" s="100"/>
      <c r="F1999" s="100"/>
      <c r="G1999" s="100"/>
      <c r="H1999" s="148"/>
      <c r="I1999" s="100"/>
      <c r="J1999" s="100"/>
      <c r="K1999" s="100"/>
      <c r="L1999" s="100"/>
      <c r="M1999" s="100"/>
    </row>
    <row r="2000" spans="4:13" s="104" customFormat="1">
      <c r="D2000" s="148"/>
      <c r="E2000" s="100"/>
      <c r="F2000" s="100"/>
      <c r="G2000" s="100"/>
      <c r="H2000" s="148"/>
      <c r="I2000" s="100"/>
      <c r="J2000" s="100"/>
      <c r="K2000" s="100"/>
      <c r="L2000" s="100"/>
      <c r="M2000" s="100"/>
    </row>
    <row r="2001" spans="4:13" s="104" customFormat="1">
      <c r="D2001" s="148"/>
      <c r="E2001" s="100"/>
      <c r="F2001" s="100"/>
      <c r="G2001" s="100"/>
      <c r="H2001" s="148"/>
      <c r="I2001" s="100"/>
      <c r="J2001" s="100"/>
      <c r="K2001" s="100"/>
      <c r="L2001" s="100"/>
      <c r="M2001" s="100"/>
    </row>
    <row r="2002" spans="4:13" s="104" customFormat="1">
      <c r="D2002" s="148"/>
      <c r="E2002" s="100"/>
      <c r="F2002" s="100"/>
      <c r="G2002" s="100"/>
      <c r="H2002" s="148"/>
      <c r="I2002" s="100"/>
      <c r="J2002" s="100"/>
      <c r="K2002" s="100"/>
      <c r="L2002" s="100"/>
      <c r="M2002" s="100"/>
    </row>
    <row r="2003" spans="4:13" s="104" customFormat="1">
      <c r="D2003" s="148"/>
      <c r="E2003" s="100"/>
      <c r="F2003" s="100"/>
      <c r="G2003" s="100"/>
      <c r="H2003" s="148"/>
      <c r="I2003" s="100"/>
      <c r="J2003" s="100"/>
      <c r="K2003" s="100"/>
      <c r="L2003" s="100"/>
      <c r="M2003" s="100"/>
    </row>
    <row r="2004" spans="4:13" s="104" customFormat="1">
      <c r="D2004" s="148"/>
      <c r="E2004" s="100"/>
      <c r="F2004" s="100"/>
      <c r="G2004" s="100"/>
      <c r="H2004" s="148"/>
      <c r="I2004" s="100"/>
      <c r="J2004" s="100"/>
      <c r="K2004" s="100"/>
      <c r="L2004" s="100"/>
      <c r="M2004" s="100"/>
    </row>
    <row r="2005" spans="4:13" s="104" customFormat="1">
      <c r="D2005" s="148"/>
      <c r="E2005" s="100"/>
      <c r="F2005" s="100"/>
      <c r="G2005" s="100"/>
      <c r="H2005" s="148"/>
      <c r="I2005" s="100"/>
      <c r="J2005" s="100"/>
      <c r="K2005" s="100"/>
      <c r="L2005" s="100"/>
      <c r="M2005" s="100"/>
    </row>
    <row r="2006" spans="4:13" s="104" customFormat="1">
      <c r="D2006" s="148"/>
      <c r="E2006" s="100"/>
      <c r="F2006" s="100"/>
      <c r="G2006" s="100"/>
      <c r="H2006" s="148"/>
      <c r="I2006" s="100"/>
      <c r="J2006" s="100"/>
      <c r="K2006" s="100"/>
      <c r="L2006" s="100"/>
      <c r="M2006" s="100"/>
    </row>
    <row r="2007" spans="4:13" s="104" customFormat="1">
      <c r="D2007" s="148"/>
      <c r="E2007" s="100"/>
      <c r="F2007" s="100"/>
      <c r="G2007" s="100"/>
      <c r="H2007" s="148"/>
      <c r="I2007" s="100"/>
      <c r="J2007" s="100"/>
      <c r="K2007" s="100"/>
      <c r="L2007" s="100"/>
      <c r="M2007" s="100"/>
    </row>
    <row r="2008" spans="4:13" s="104" customFormat="1">
      <c r="D2008" s="148"/>
      <c r="E2008" s="100"/>
      <c r="F2008" s="100"/>
      <c r="G2008" s="100"/>
      <c r="H2008" s="148"/>
      <c r="I2008" s="100"/>
      <c r="J2008" s="100"/>
      <c r="K2008" s="100"/>
      <c r="L2008" s="100"/>
      <c r="M2008" s="100"/>
    </row>
    <row r="2009" spans="4:13" s="104" customFormat="1">
      <c r="D2009" s="148"/>
      <c r="E2009" s="100"/>
      <c r="F2009" s="100"/>
      <c r="G2009" s="100"/>
      <c r="H2009" s="148"/>
      <c r="I2009" s="100"/>
      <c r="J2009" s="100"/>
      <c r="K2009" s="100"/>
      <c r="L2009" s="100"/>
      <c r="M2009" s="100"/>
    </row>
    <row r="2010" spans="4:13" s="104" customFormat="1">
      <c r="D2010" s="148"/>
      <c r="E2010" s="100"/>
      <c r="F2010" s="100"/>
      <c r="G2010" s="100"/>
      <c r="H2010" s="148"/>
      <c r="I2010" s="100"/>
      <c r="J2010" s="100"/>
      <c r="K2010" s="100"/>
      <c r="L2010" s="100"/>
      <c r="M2010" s="100"/>
    </row>
    <row r="2011" spans="4:13" s="104" customFormat="1">
      <c r="D2011" s="148"/>
      <c r="E2011" s="100"/>
      <c r="F2011" s="100"/>
      <c r="G2011" s="100"/>
      <c r="H2011" s="148"/>
      <c r="I2011" s="100"/>
      <c r="J2011" s="100"/>
      <c r="K2011" s="100"/>
      <c r="L2011" s="100"/>
      <c r="M2011" s="100"/>
    </row>
    <row r="2012" spans="4:13" s="104" customFormat="1">
      <c r="D2012" s="148"/>
      <c r="E2012" s="100"/>
      <c r="F2012" s="100"/>
      <c r="G2012" s="100"/>
      <c r="H2012" s="148"/>
      <c r="I2012" s="100"/>
      <c r="J2012" s="100"/>
      <c r="K2012" s="100"/>
      <c r="L2012" s="100"/>
      <c r="M2012" s="100"/>
    </row>
    <row r="2013" spans="4:13" s="104" customFormat="1">
      <c r="D2013" s="148"/>
      <c r="E2013" s="100"/>
      <c r="F2013" s="100"/>
      <c r="G2013" s="100"/>
      <c r="H2013" s="148"/>
      <c r="I2013" s="100"/>
      <c r="J2013" s="100"/>
      <c r="K2013" s="100"/>
      <c r="L2013" s="100"/>
      <c r="M2013" s="100"/>
    </row>
    <row r="2014" spans="4:13" s="104" customFormat="1">
      <c r="D2014" s="148"/>
      <c r="E2014" s="100"/>
      <c r="F2014" s="100"/>
      <c r="G2014" s="100"/>
      <c r="H2014" s="148"/>
      <c r="I2014" s="100"/>
      <c r="J2014" s="100"/>
      <c r="K2014" s="100"/>
      <c r="L2014" s="100"/>
      <c r="M2014" s="100"/>
    </row>
    <row r="2015" spans="4:13" s="104" customFormat="1">
      <c r="D2015" s="148"/>
      <c r="E2015" s="100"/>
      <c r="F2015" s="100"/>
      <c r="G2015" s="100"/>
      <c r="H2015" s="148"/>
      <c r="I2015" s="100"/>
      <c r="J2015" s="100"/>
      <c r="K2015" s="100"/>
      <c r="L2015" s="100"/>
      <c r="M2015" s="100"/>
    </row>
    <row r="2016" spans="4:13" s="104" customFormat="1">
      <c r="D2016" s="148"/>
      <c r="E2016" s="100"/>
      <c r="F2016" s="100"/>
      <c r="G2016" s="100"/>
      <c r="H2016" s="148"/>
      <c r="I2016" s="100"/>
      <c r="J2016" s="100"/>
      <c r="K2016" s="100"/>
      <c r="L2016" s="100"/>
      <c r="M2016" s="100"/>
    </row>
  </sheetData>
  <mergeCells count="14">
    <mergeCell ref="A6:A9"/>
    <mergeCell ref="J6:M7"/>
    <mergeCell ref="J8:J9"/>
    <mergeCell ref="K8:K9"/>
    <mergeCell ref="L8:L9"/>
    <mergeCell ref="M8:M9"/>
    <mergeCell ref="B6:B9"/>
    <mergeCell ref="C6:C9"/>
    <mergeCell ref="D6:D9"/>
    <mergeCell ref="H8:H9"/>
    <mergeCell ref="I8:I9"/>
    <mergeCell ref="G8:G9"/>
    <mergeCell ref="G6:I7"/>
    <mergeCell ref="E6:F9"/>
  </mergeCells>
  <phoneticPr fontId="0" type="noConversion"/>
  <printOptions horizontalCentered="1" verticalCentered="1"/>
  <pageMargins left="0.98425196850393704" right="0.78740157480314965" top="0.59055118110236227" bottom="0.59055118110236227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opLeftCell="B106" zoomScaleSheetLayoutView="100" workbookViewId="0">
      <selection activeCell="E112" sqref="E112:E113"/>
    </sheetView>
  </sheetViews>
  <sheetFormatPr baseColWidth="10" defaultColWidth="8.83203125" defaultRowHeight="12" x14ac:dyDescent="0"/>
  <cols>
    <col min="1" max="1" width="4" customWidth="1"/>
    <col min="2" max="2" width="35.1640625" style="14" customWidth="1"/>
    <col min="3" max="3" width="4.83203125" customWidth="1"/>
    <col min="4" max="4" width="8.33203125" style="77" customWidth="1"/>
    <col min="5" max="5" width="8.83203125" style="26"/>
    <col min="6" max="6" width="10.6640625" style="26" customWidth="1"/>
    <col min="7" max="7" width="10" style="26" customWidth="1"/>
    <col min="8" max="8" width="11.33203125" style="26" customWidth="1"/>
    <col min="9" max="9" width="12.5" style="26" customWidth="1"/>
    <col min="10" max="10" width="11.6640625" style="26" customWidth="1"/>
    <col min="11" max="11" width="12" style="76" customWidth="1"/>
    <col min="12" max="12" width="11.5" customWidth="1"/>
  </cols>
  <sheetData>
    <row r="1" spans="1:11">
      <c r="A1" s="1"/>
      <c r="B1" s="2" t="s">
        <v>520</v>
      </c>
      <c r="C1" s="3"/>
      <c r="D1" s="65"/>
      <c r="E1" s="17"/>
      <c r="F1" s="17"/>
      <c r="G1" s="17"/>
      <c r="H1" s="17"/>
      <c r="I1" s="17"/>
      <c r="J1" s="17"/>
      <c r="K1" s="17"/>
    </row>
    <row r="2" spans="1:11">
      <c r="A2" s="4"/>
      <c r="B2" s="5" t="s">
        <v>546</v>
      </c>
      <c r="C2" s="3"/>
      <c r="D2" s="65"/>
      <c r="E2" s="21"/>
      <c r="F2" s="21" t="s">
        <v>547</v>
      </c>
      <c r="G2" s="21"/>
      <c r="H2" s="17"/>
      <c r="I2" s="17"/>
      <c r="J2" s="20" t="s">
        <v>4</v>
      </c>
      <c r="K2" s="21">
        <f>K138</f>
        <v>18936.722480000004</v>
      </c>
    </row>
    <row r="3" spans="1:11" ht="13" thickBot="1">
      <c r="A3" s="8"/>
      <c r="B3" s="9"/>
      <c r="C3" s="3"/>
      <c r="D3" s="65"/>
      <c r="E3" s="17"/>
      <c r="F3" s="34"/>
      <c r="G3" s="34"/>
      <c r="H3" s="34"/>
      <c r="I3" s="34"/>
      <c r="J3" s="34"/>
      <c r="K3" s="17"/>
    </row>
    <row r="4" spans="1:11">
      <c r="A4" s="30" t="s">
        <v>0</v>
      </c>
      <c r="B4" s="32" t="s">
        <v>68</v>
      </c>
      <c r="C4" s="30" t="s">
        <v>69</v>
      </c>
      <c r="D4" s="66" t="s">
        <v>71</v>
      </c>
      <c r="E4" s="39"/>
      <c r="F4" s="40" t="s">
        <v>74</v>
      </c>
      <c r="G4" s="41"/>
      <c r="H4" s="39"/>
      <c r="I4" s="40" t="s">
        <v>77</v>
      </c>
      <c r="J4" s="41"/>
      <c r="K4" s="41" t="s">
        <v>73</v>
      </c>
    </row>
    <row r="5" spans="1:11" ht="13" thickBot="1">
      <c r="A5" s="31" t="s">
        <v>67</v>
      </c>
      <c r="B5" s="33"/>
      <c r="C5" s="31" t="s">
        <v>70</v>
      </c>
      <c r="D5" s="67" t="s">
        <v>72</v>
      </c>
      <c r="E5" s="43" t="s">
        <v>75</v>
      </c>
      <c r="F5" s="44" t="s">
        <v>76</v>
      </c>
      <c r="G5" s="45" t="s">
        <v>178</v>
      </c>
      <c r="H5" s="43" t="s">
        <v>75</v>
      </c>
      <c r="I5" s="44" t="s">
        <v>76</v>
      </c>
      <c r="J5" s="45" t="s">
        <v>178</v>
      </c>
      <c r="K5" s="42" t="s">
        <v>1</v>
      </c>
    </row>
    <row r="6" spans="1:11">
      <c r="A6" s="6">
        <v>12</v>
      </c>
      <c r="B6" s="12" t="s">
        <v>12</v>
      </c>
      <c r="C6" s="7"/>
      <c r="D6" s="68"/>
      <c r="E6" s="22"/>
      <c r="F6" s="18"/>
      <c r="G6" s="18"/>
      <c r="H6" s="18">
        <f>D6*E6</f>
        <v>0</v>
      </c>
      <c r="I6" s="18">
        <f>D6*F6</f>
        <v>0</v>
      </c>
      <c r="J6" s="23">
        <f>D6*G6</f>
        <v>0</v>
      </c>
      <c r="K6" s="18">
        <f>H6+I6+J6</f>
        <v>0</v>
      </c>
    </row>
    <row r="7" spans="1:11">
      <c r="A7" s="6">
        <v>13</v>
      </c>
      <c r="B7" s="11" t="s">
        <v>518</v>
      </c>
      <c r="C7" s="7" t="s">
        <v>13</v>
      </c>
      <c r="D7" s="68">
        <v>28.5</v>
      </c>
      <c r="E7" s="22">
        <v>0.7</v>
      </c>
      <c r="F7" s="18"/>
      <c r="G7" s="18">
        <v>2</v>
      </c>
      <c r="H7" s="18">
        <f>D7*E7</f>
        <v>19.95</v>
      </c>
      <c r="I7" s="18">
        <f>D7*F7</f>
        <v>0</v>
      </c>
      <c r="J7" s="23">
        <f>D7*G7</f>
        <v>57</v>
      </c>
      <c r="K7" s="18">
        <f>H7+I7+J7</f>
        <v>76.95</v>
      </c>
    </row>
    <row r="8" spans="1:11">
      <c r="A8" s="6">
        <v>14</v>
      </c>
      <c r="B8" s="11" t="s">
        <v>130</v>
      </c>
      <c r="C8" s="7" t="s">
        <v>13</v>
      </c>
      <c r="D8" s="68">
        <v>3</v>
      </c>
      <c r="E8" s="22">
        <v>1.6</v>
      </c>
      <c r="F8" s="18">
        <v>0.03</v>
      </c>
      <c r="G8" s="18">
        <v>0.1</v>
      </c>
      <c r="H8" s="18">
        <f t="shared" ref="H8:H71" si="0">D8*E8</f>
        <v>4.8000000000000007</v>
      </c>
      <c r="I8" s="18">
        <f t="shared" ref="I8:I71" si="1">D8*F8</f>
        <v>0.09</v>
      </c>
      <c r="J8" s="23">
        <f t="shared" ref="J8:J71" si="2">D8*G8</f>
        <v>0.30000000000000004</v>
      </c>
      <c r="K8" s="18">
        <f t="shared" ref="K8:K71" si="3">H8+I8+J8</f>
        <v>5.19</v>
      </c>
    </row>
    <row r="9" spans="1:11">
      <c r="A9" s="6">
        <v>15</v>
      </c>
      <c r="B9" s="11" t="s">
        <v>14</v>
      </c>
      <c r="C9" s="7" t="s">
        <v>6</v>
      </c>
      <c r="D9" s="68">
        <v>94.6</v>
      </c>
      <c r="E9" s="22">
        <v>1.1000000000000001</v>
      </c>
      <c r="F9" s="18"/>
      <c r="G9" s="18">
        <v>0.15</v>
      </c>
      <c r="H9" s="18">
        <f t="shared" si="0"/>
        <v>104.06</v>
      </c>
      <c r="I9" s="18">
        <f t="shared" si="1"/>
        <v>0</v>
      </c>
      <c r="J9" s="23">
        <f t="shared" si="2"/>
        <v>14.19</v>
      </c>
      <c r="K9" s="18">
        <f t="shared" si="3"/>
        <v>118.25</v>
      </c>
    </row>
    <row r="10" spans="1:11">
      <c r="A10" s="6">
        <v>16</v>
      </c>
      <c r="B10" s="27" t="s">
        <v>27</v>
      </c>
      <c r="C10" s="7" t="s">
        <v>13</v>
      </c>
      <c r="D10" s="68">
        <v>3.6</v>
      </c>
      <c r="E10" s="22"/>
      <c r="F10" s="18">
        <v>84</v>
      </c>
      <c r="G10" s="18"/>
      <c r="H10" s="18">
        <f t="shared" si="0"/>
        <v>0</v>
      </c>
      <c r="I10" s="18">
        <f t="shared" si="1"/>
        <v>302.40000000000003</v>
      </c>
      <c r="J10" s="23">
        <f t="shared" si="2"/>
        <v>0</v>
      </c>
      <c r="K10" s="18">
        <f t="shared" si="3"/>
        <v>302.40000000000003</v>
      </c>
    </row>
    <row r="11" spans="1:11">
      <c r="A11" s="6">
        <v>17</v>
      </c>
      <c r="B11" s="11" t="s">
        <v>15</v>
      </c>
      <c r="C11" s="7" t="s">
        <v>16</v>
      </c>
      <c r="D11" s="68">
        <v>0.6</v>
      </c>
      <c r="E11" s="22">
        <v>85</v>
      </c>
      <c r="F11" s="18"/>
      <c r="G11" s="18">
        <v>0.3</v>
      </c>
      <c r="H11" s="18">
        <f t="shared" si="0"/>
        <v>51</v>
      </c>
      <c r="I11" s="18">
        <f t="shared" si="1"/>
        <v>0</v>
      </c>
      <c r="J11" s="23">
        <f t="shared" si="2"/>
        <v>0.18</v>
      </c>
      <c r="K11" s="18">
        <f t="shared" si="3"/>
        <v>51.18</v>
      </c>
    </row>
    <row r="12" spans="1:11">
      <c r="A12" s="6">
        <v>18</v>
      </c>
      <c r="B12" s="15" t="s">
        <v>17</v>
      </c>
      <c r="C12" s="7" t="s">
        <v>16</v>
      </c>
      <c r="D12" s="68">
        <v>0.6</v>
      </c>
      <c r="E12" s="22"/>
      <c r="F12" s="18">
        <v>187</v>
      </c>
      <c r="G12" s="18"/>
      <c r="H12" s="18">
        <f t="shared" si="0"/>
        <v>0</v>
      </c>
      <c r="I12" s="18">
        <f t="shared" si="1"/>
        <v>112.2</v>
      </c>
      <c r="J12" s="23">
        <f t="shared" si="2"/>
        <v>0</v>
      </c>
      <c r="K12" s="18">
        <f t="shared" si="3"/>
        <v>112.2</v>
      </c>
    </row>
    <row r="13" spans="1:11">
      <c r="A13" s="6">
        <v>19</v>
      </c>
      <c r="B13" s="15" t="s">
        <v>46</v>
      </c>
      <c r="C13" s="7" t="s">
        <v>47</v>
      </c>
      <c r="D13" s="68">
        <v>15</v>
      </c>
      <c r="E13" s="22"/>
      <c r="F13" s="18">
        <v>2.8</v>
      </c>
      <c r="G13" s="18"/>
      <c r="H13" s="18">
        <f t="shared" si="0"/>
        <v>0</v>
      </c>
      <c r="I13" s="18">
        <f t="shared" si="1"/>
        <v>42</v>
      </c>
      <c r="J13" s="23">
        <f t="shared" si="2"/>
        <v>0</v>
      </c>
      <c r="K13" s="18">
        <f t="shared" si="3"/>
        <v>42</v>
      </c>
    </row>
    <row r="14" spans="1:11">
      <c r="A14" s="6">
        <v>20</v>
      </c>
      <c r="B14" s="11" t="s">
        <v>18</v>
      </c>
      <c r="C14" s="7" t="s">
        <v>13</v>
      </c>
      <c r="D14" s="68">
        <v>16.5</v>
      </c>
      <c r="E14" s="22">
        <v>1.8</v>
      </c>
      <c r="F14" s="18"/>
      <c r="G14" s="18">
        <v>0.18</v>
      </c>
      <c r="H14" s="18">
        <f t="shared" si="0"/>
        <v>29.7</v>
      </c>
      <c r="I14" s="18">
        <f t="shared" si="1"/>
        <v>0</v>
      </c>
      <c r="J14" s="23">
        <f t="shared" si="2"/>
        <v>2.9699999999999998</v>
      </c>
      <c r="K14" s="18">
        <f t="shared" si="3"/>
        <v>32.67</v>
      </c>
    </row>
    <row r="15" spans="1:11">
      <c r="A15" s="6">
        <v>21</v>
      </c>
      <c r="B15" s="15" t="s">
        <v>19</v>
      </c>
      <c r="C15" s="7" t="s">
        <v>13</v>
      </c>
      <c r="D15" s="68">
        <v>16.5</v>
      </c>
      <c r="E15" s="22"/>
      <c r="F15" s="18">
        <v>28.7</v>
      </c>
      <c r="G15" s="18">
        <v>6.5</v>
      </c>
      <c r="H15" s="18">
        <f t="shared" si="0"/>
        <v>0</v>
      </c>
      <c r="I15" s="18">
        <f t="shared" si="1"/>
        <v>473.55</v>
      </c>
      <c r="J15" s="23">
        <f t="shared" si="2"/>
        <v>107.25</v>
      </c>
      <c r="K15" s="18">
        <f t="shared" si="3"/>
        <v>580.79999999999995</v>
      </c>
    </row>
    <row r="16" spans="1:11">
      <c r="A16" s="6">
        <v>22</v>
      </c>
      <c r="B16" s="16" t="s">
        <v>48</v>
      </c>
      <c r="C16" s="7" t="s">
        <v>6</v>
      </c>
      <c r="D16" s="68">
        <v>94.6</v>
      </c>
      <c r="E16" s="22">
        <v>0.15</v>
      </c>
      <c r="F16" s="18"/>
      <c r="G16" s="18">
        <v>0.01</v>
      </c>
      <c r="H16" s="18">
        <f t="shared" si="0"/>
        <v>14.19</v>
      </c>
      <c r="I16" s="18">
        <f t="shared" si="1"/>
        <v>0</v>
      </c>
      <c r="J16" s="23">
        <f t="shared" si="2"/>
        <v>0.94599999999999995</v>
      </c>
      <c r="K16" s="18">
        <f t="shared" si="3"/>
        <v>15.135999999999999</v>
      </c>
    </row>
    <row r="17" spans="1:11">
      <c r="A17" s="6">
        <v>23</v>
      </c>
      <c r="B17" s="16" t="s">
        <v>22</v>
      </c>
      <c r="C17" s="7" t="s">
        <v>6</v>
      </c>
      <c r="D17" s="68">
        <v>48</v>
      </c>
      <c r="E17" s="22">
        <v>0.5</v>
      </c>
      <c r="F17" s="18"/>
      <c r="G17" s="18">
        <v>0.22</v>
      </c>
      <c r="H17" s="18">
        <f t="shared" si="0"/>
        <v>24</v>
      </c>
      <c r="I17" s="18">
        <f t="shared" si="1"/>
        <v>0</v>
      </c>
      <c r="J17" s="23">
        <f t="shared" si="2"/>
        <v>10.56</v>
      </c>
      <c r="K17" s="18">
        <f t="shared" si="3"/>
        <v>34.56</v>
      </c>
    </row>
    <row r="18" spans="1:11">
      <c r="A18" s="6">
        <v>24</v>
      </c>
      <c r="B18" s="27" t="s">
        <v>136</v>
      </c>
      <c r="C18" s="7" t="s">
        <v>13</v>
      </c>
      <c r="D18" s="68">
        <v>2.4</v>
      </c>
      <c r="E18" s="19"/>
      <c r="F18" s="19">
        <v>23</v>
      </c>
      <c r="G18" s="18"/>
      <c r="H18" s="18">
        <f t="shared" si="0"/>
        <v>0</v>
      </c>
      <c r="I18" s="18">
        <f t="shared" si="1"/>
        <v>55.199999999999996</v>
      </c>
      <c r="J18" s="23">
        <f t="shared" si="2"/>
        <v>0</v>
      </c>
      <c r="K18" s="18">
        <f t="shared" si="3"/>
        <v>55.199999999999996</v>
      </c>
    </row>
    <row r="19" spans="1:11">
      <c r="A19" s="6">
        <v>25</v>
      </c>
      <c r="B19" s="15" t="s">
        <v>49</v>
      </c>
      <c r="C19" s="7" t="s">
        <v>47</v>
      </c>
      <c r="D19" s="68">
        <v>20</v>
      </c>
      <c r="E19" s="22"/>
      <c r="F19" s="18">
        <v>0.65</v>
      </c>
      <c r="G19" s="18"/>
      <c r="H19" s="18">
        <f t="shared" si="0"/>
        <v>0</v>
      </c>
      <c r="I19" s="18">
        <f t="shared" si="1"/>
        <v>13</v>
      </c>
      <c r="J19" s="23">
        <f t="shared" si="2"/>
        <v>0</v>
      </c>
      <c r="K19" s="18">
        <f t="shared" si="3"/>
        <v>13</v>
      </c>
    </row>
    <row r="20" spans="1:11">
      <c r="A20" s="6">
        <v>26</v>
      </c>
      <c r="B20" s="11" t="s">
        <v>20</v>
      </c>
      <c r="C20" s="7" t="s">
        <v>13</v>
      </c>
      <c r="D20" s="68">
        <v>16</v>
      </c>
      <c r="E20" s="22">
        <v>1.5</v>
      </c>
      <c r="F20" s="18"/>
      <c r="G20" s="18">
        <v>0.15</v>
      </c>
      <c r="H20" s="18">
        <f t="shared" si="0"/>
        <v>24</v>
      </c>
      <c r="I20" s="18">
        <f t="shared" si="1"/>
        <v>0</v>
      </c>
      <c r="J20" s="23">
        <f t="shared" si="2"/>
        <v>2.4</v>
      </c>
      <c r="K20" s="18">
        <f t="shared" si="3"/>
        <v>26.4</v>
      </c>
    </row>
    <row r="21" spans="1:11">
      <c r="A21" s="6">
        <v>27</v>
      </c>
      <c r="B21" s="16" t="s">
        <v>23</v>
      </c>
      <c r="C21" s="7" t="s">
        <v>6</v>
      </c>
      <c r="D21" s="68">
        <v>12</v>
      </c>
      <c r="E21" s="22">
        <v>0.25</v>
      </c>
      <c r="F21" s="18"/>
      <c r="G21" s="18">
        <v>0.22</v>
      </c>
      <c r="H21" s="18">
        <f t="shared" si="0"/>
        <v>3</v>
      </c>
      <c r="I21" s="18">
        <f t="shared" si="1"/>
        <v>0</v>
      </c>
      <c r="J21" s="23">
        <f t="shared" si="2"/>
        <v>2.64</v>
      </c>
      <c r="K21" s="18">
        <f t="shared" si="3"/>
        <v>5.6400000000000006</v>
      </c>
    </row>
    <row r="22" spans="1:11">
      <c r="A22" s="6">
        <v>28</v>
      </c>
      <c r="B22" s="27" t="s">
        <v>26</v>
      </c>
      <c r="C22" s="7" t="s">
        <v>6</v>
      </c>
      <c r="D22" s="68">
        <v>12</v>
      </c>
      <c r="E22" s="22"/>
      <c r="F22" s="18">
        <v>0.75</v>
      </c>
      <c r="G22" s="18"/>
      <c r="H22" s="18">
        <f t="shared" si="0"/>
        <v>0</v>
      </c>
      <c r="I22" s="18">
        <f t="shared" si="1"/>
        <v>9</v>
      </c>
      <c r="J22" s="23">
        <f t="shared" si="2"/>
        <v>0</v>
      </c>
      <c r="K22" s="18">
        <f t="shared" si="3"/>
        <v>9</v>
      </c>
    </row>
    <row r="23" spans="1:11">
      <c r="A23" s="6">
        <v>31</v>
      </c>
      <c r="B23" s="11" t="s">
        <v>21</v>
      </c>
      <c r="C23" s="7" t="s">
        <v>13</v>
      </c>
      <c r="D23" s="68">
        <v>47.5</v>
      </c>
      <c r="E23" s="22">
        <v>11.5</v>
      </c>
      <c r="F23" s="18"/>
      <c r="G23" s="18">
        <v>0.15</v>
      </c>
      <c r="H23" s="18">
        <f t="shared" si="0"/>
        <v>546.25</v>
      </c>
      <c r="I23" s="18">
        <f t="shared" si="1"/>
        <v>0</v>
      </c>
      <c r="J23" s="23">
        <f t="shared" si="2"/>
        <v>7.125</v>
      </c>
      <c r="K23" s="18">
        <f t="shared" si="3"/>
        <v>553.375</v>
      </c>
    </row>
    <row r="24" spans="1:11">
      <c r="A24" s="6">
        <v>32</v>
      </c>
      <c r="B24" s="15" t="s">
        <v>51</v>
      </c>
      <c r="C24" s="7" t="s">
        <v>13</v>
      </c>
      <c r="D24" s="68">
        <v>18</v>
      </c>
      <c r="E24" s="22"/>
      <c r="F24" s="18">
        <v>6.5</v>
      </c>
      <c r="G24" s="18">
        <v>1.3</v>
      </c>
      <c r="H24" s="18">
        <f t="shared" si="0"/>
        <v>0</v>
      </c>
      <c r="I24" s="18">
        <f t="shared" si="1"/>
        <v>117</v>
      </c>
      <c r="J24" s="23">
        <f t="shared" si="2"/>
        <v>23.400000000000002</v>
      </c>
      <c r="K24" s="18">
        <f t="shared" si="3"/>
        <v>140.4</v>
      </c>
    </row>
    <row r="25" spans="1:11">
      <c r="A25" s="6">
        <v>33</v>
      </c>
      <c r="B25" s="15" t="s">
        <v>522</v>
      </c>
      <c r="C25" s="7" t="s">
        <v>47</v>
      </c>
      <c r="D25" s="68">
        <v>900</v>
      </c>
      <c r="E25" s="22"/>
      <c r="F25" s="18">
        <v>0.04</v>
      </c>
      <c r="G25" s="18">
        <v>2.5000000000000001E-2</v>
      </c>
      <c r="H25" s="18">
        <f t="shared" si="0"/>
        <v>0</v>
      </c>
      <c r="I25" s="18">
        <f t="shared" si="1"/>
        <v>36</v>
      </c>
      <c r="J25" s="23">
        <f t="shared" si="2"/>
        <v>22.5</v>
      </c>
      <c r="K25" s="18">
        <f t="shared" si="3"/>
        <v>58.5</v>
      </c>
    </row>
    <row r="26" spans="1:11">
      <c r="A26" s="6">
        <v>34</v>
      </c>
      <c r="B26" s="15" t="s">
        <v>24</v>
      </c>
      <c r="C26" s="7" t="s">
        <v>13</v>
      </c>
      <c r="D26" s="68">
        <v>48</v>
      </c>
      <c r="E26" s="22"/>
      <c r="F26" s="18">
        <v>33.799999999999997</v>
      </c>
      <c r="G26" s="18">
        <v>2.8</v>
      </c>
      <c r="H26" s="18">
        <f t="shared" si="0"/>
        <v>0</v>
      </c>
      <c r="I26" s="18">
        <f t="shared" si="1"/>
        <v>1622.3999999999999</v>
      </c>
      <c r="J26" s="23">
        <f t="shared" si="2"/>
        <v>134.39999999999998</v>
      </c>
      <c r="K26" s="18">
        <f t="shared" si="3"/>
        <v>1756.7999999999997</v>
      </c>
    </row>
    <row r="27" spans="1:11">
      <c r="A27" s="6">
        <v>37</v>
      </c>
      <c r="B27" s="15" t="s">
        <v>521</v>
      </c>
      <c r="C27" s="7" t="s">
        <v>273</v>
      </c>
      <c r="D27" s="68">
        <v>160</v>
      </c>
      <c r="E27" s="22"/>
      <c r="F27" s="18">
        <v>0.62</v>
      </c>
      <c r="G27" s="18"/>
      <c r="H27" s="18">
        <f t="shared" si="0"/>
        <v>0</v>
      </c>
      <c r="I27" s="18">
        <f t="shared" si="1"/>
        <v>99.2</v>
      </c>
      <c r="J27" s="23">
        <f t="shared" si="2"/>
        <v>0</v>
      </c>
      <c r="K27" s="18">
        <f t="shared" si="3"/>
        <v>99.2</v>
      </c>
    </row>
    <row r="28" spans="1:11">
      <c r="A28" s="6">
        <v>38</v>
      </c>
      <c r="B28" s="11" t="s">
        <v>519</v>
      </c>
      <c r="C28" s="7" t="s">
        <v>6</v>
      </c>
      <c r="D28" s="68">
        <v>48</v>
      </c>
      <c r="E28" s="22">
        <v>10.5</v>
      </c>
      <c r="F28" s="18"/>
      <c r="G28" s="18">
        <v>0.78</v>
      </c>
      <c r="H28" s="18">
        <f t="shared" si="0"/>
        <v>504</v>
      </c>
      <c r="I28" s="18">
        <f t="shared" si="1"/>
        <v>0</v>
      </c>
      <c r="J28" s="23">
        <f t="shared" si="2"/>
        <v>37.44</v>
      </c>
      <c r="K28" s="18">
        <f t="shared" si="3"/>
        <v>541.44000000000005</v>
      </c>
    </row>
    <row r="29" spans="1:11">
      <c r="A29" s="6">
        <v>39</v>
      </c>
      <c r="B29" s="27" t="s">
        <v>524</v>
      </c>
      <c r="C29" s="7" t="s">
        <v>6</v>
      </c>
      <c r="D29" s="68">
        <v>51</v>
      </c>
      <c r="E29" s="22"/>
      <c r="F29" s="18">
        <v>3.85</v>
      </c>
      <c r="G29" s="18">
        <v>1.2</v>
      </c>
      <c r="H29" s="18">
        <f t="shared" si="0"/>
        <v>0</v>
      </c>
      <c r="I29" s="18">
        <f t="shared" si="1"/>
        <v>196.35</v>
      </c>
      <c r="J29" s="23">
        <f t="shared" si="2"/>
        <v>61.199999999999996</v>
      </c>
      <c r="K29" s="18">
        <f t="shared" si="3"/>
        <v>257.55</v>
      </c>
    </row>
    <row r="30" spans="1:11">
      <c r="A30" s="6">
        <v>40</v>
      </c>
      <c r="B30" s="15" t="s">
        <v>143</v>
      </c>
      <c r="C30" s="7" t="s">
        <v>11</v>
      </c>
      <c r="D30" s="68">
        <v>48</v>
      </c>
      <c r="E30" s="22"/>
      <c r="F30" s="18">
        <v>0.8</v>
      </c>
      <c r="G30" s="18">
        <v>0.1</v>
      </c>
      <c r="H30" s="18">
        <f t="shared" si="0"/>
        <v>0</v>
      </c>
      <c r="I30" s="18">
        <f t="shared" si="1"/>
        <v>38.400000000000006</v>
      </c>
      <c r="J30" s="23">
        <f t="shared" si="2"/>
        <v>4.8000000000000007</v>
      </c>
      <c r="K30" s="18">
        <f t="shared" si="3"/>
        <v>43.2</v>
      </c>
    </row>
    <row r="31" spans="1:11">
      <c r="A31" s="6">
        <v>41</v>
      </c>
      <c r="B31" s="15" t="s">
        <v>321</v>
      </c>
      <c r="C31" s="7" t="s">
        <v>13</v>
      </c>
      <c r="D31" s="68">
        <v>2.4</v>
      </c>
      <c r="E31" s="22"/>
      <c r="F31" s="18">
        <v>84</v>
      </c>
      <c r="G31" s="18">
        <v>12.5</v>
      </c>
      <c r="H31" s="18">
        <f t="shared" si="0"/>
        <v>0</v>
      </c>
      <c r="I31" s="18">
        <f t="shared" si="1"/>
        <v>201.6</v>
      </c>
      <c r="J31" s="23">
        <f t="shared" si="2"/>
        <v>30</v>
      </c>
      <c r="K31" s="18">
        <f t="shared" si="3"/>
        <v>231.6</v>
      </c>
    </row>
    <row r="32" spans="1:11">
      <c r="A32" s="6">
        <v>42</v>
      </c>
      <c r="B32" s="15" t="s">
        <v>525</v>
      </c>
      <c r="C32" s="7" t="s">
        <v>47</v>
      </c>
      <c r="D32" s="68">
        <v>6</v>
      </c>
      <c r="E32" s="22"/>
      <c r="F32" s="18">
        <v>2.84</v>
      </c>
      <c r="G32" s="18">
        <v>0.03</v>
      </c>
      <c r="H32" s="18">
        <f t="shared" si="0"/>
        <v>0</v>
      </c>
      <c r="I32" s="18">
        <f t="shared" si="1"/>
        <v>17.04</v>
      </c>
      <c r="J32" s="23">
        <f t="shared" si="2"/>
        <v>0.18</v>
      </c>
      <c r="K32" s="18">
        <f t="shared" si="3"/>
        <v>17.22</v>
      </c>
    </row>
    <row r="33" spans="1:12">
      <c r="A33" s="6">
        <v>56</v>
      </c>
      <c r="B33" s="27" t="s">
        <v>26</v>
      </c>
      <c r="C33" s="7" t="s">
        <v>6</v>
      </c>
      <c r="D33" s="68">
        <v>12</v>
      </c>
      <c r="E33" s="22"/>
      <c r="F33" s="18">
        <v>0.75</v>
      </c>
      <c r="G33" s="18">
        <v>0.05</v>
      </c>
      <c r="H33" s="18">
        <f t="shared" si="0"/>
        <v>0</v>
      </c>
      <c r="I33" s="18">
        <f t="shared" si="1"/>
        <v>9</v>
      </c>
      <c r="J33" s="23">
        <f t="shared" si="2"/>
        <v>0.60000000000000009</v>
      </c>
      <c r="K33" s="18">
        <f t="shared" si="3"/>
        <v>9.6</v>
      </c>
    </row>
    <row r="34" spans="1:12">
      <c r="A34" s="6">
        <v>57</v>
      </c>
      <c r="B34" s="28" t="s">
        <v>523</v>
      </c>
      <c r="C34" s="7" t="s">
        <v>11</v>
      </c>
      <c r="D34" s="68">
        <v>1</v>
      </c>
      <c r="E34" s="22">
        <v>375</v>
      </c>
      <c r="F34" s="22">
        <v>1420</v>
      </c>
      <c r="G34" s="18">
        <v>160</v>
      </c>
      <c r="H34" s="18">
        <f t="shared" si="0"/>
        <v>375</v>
      </c>
      <c r="I34" s="18">
        <f t="shared" si="1"/>
        <v>1420</v>
      </c>
      <c r="J34" s="23">
        <f t="shared" si="2"/>
        <v>160</v>
      </c>
      <c r="K34" s="18">
        <f t="shared" si="3"/>
        <v>1955</v>
      </c>
    </row>
    <row r="35" spans="1:12">
      <c r="A35" s="6">
        <v>58</v>
      </c>
      <c r="B35" s="11" t="s">
        <v>526</v>
      </c>
      <c r="C35" s="7" t="s">
        <v>6</v>
      </c>
      <c r="D35" s="68">
        <v>84.2</v>
      </c>
      <c r="E35" s="22">
        <v>6.7</v>
      </c>
      <c r="F35" s="18"/>
      <c r="G35" s="18">
        <v>0.67</v>
      </c>
      <c r="H35" s="18">
        <f t="shared" si="0"/>
        <v>564.14</v>
      </c>
      <c r="I35" s="18">
        <f t="shared" si="1"/>
        <v>0</v>
      </c>
      <c r="J35" s="23">
        <f t="shared" si="2"/>
        <v>56.414000000000009</v>
      </c>
      <c r="K35" s="18">
        <f t="shared" si="3"/>
        <v>620.55399999999997</v>
      </c>
      <c r="L35" s="46"/>
    </row>
    <row r="36" spans="1:12">
      <c r="A36" s="6">
        <v>59</v>
      </c>
      <c r="B36" s="27" t="s">
        <v>91</v>
      </c>
      <c r="C36" s="7" t="s">
        <v>11</v>
      </c>
      <c r="D36" s="68">
        <v>27</v>
      </c>
      <c r="E36" s="22"/>
      <c r="F36" s="18">
        <v>3.6</v>
      </c>
      <c r="G36" s="18">
        <v>0.3</v>
      </c>
      <c r="H36" s="18">
        <f t="shared" si="0"/>
        <v>0</v>
      </c>
      <c r="I36" s="18">
        <f t="shared" si="1"/>
        <v>97.2</v>
      </c>
      <c r="J36" s="23">
        <f t="shared" si="2"/>
        <v>8.1</v>
      </c>
      <c r="K36" s="18">
        <f t="shared" si="3"/>
        <v>105.3</v>
      </c>
      <c r="L36" s="46"/>
    </row>
    <row r="37" spans="1:12">
      <c r="A37" s="6"/>
      <c r="B37" s="15" t="s">
        <v>527</v>
      </c>
      <c r="C37" s="7" t="s">
        <v>11</v>
      </c>
      <c r="D37" s="68">
        <v>4</v>
      </c>
      <c r="E37" s="22"/>
      <c r="F37" s="18">
        <v>3.8</v>
      </c>
      <c r="G37" s="18">
        <v>0.3</v>
      </c>
      <c r="H37" s="18">
        <f t="shared" si="0"/>
        <v>0</v>
      </c>
      <c r="I37" s="18">
        <f t="shared" si="1"/>
        <v>15.2</v>
      </c>
      <c r="J37" s="23">
        <f t="shared" si="2"/>
        <v>1.2</v>
      </c>
      <c r="K37" s="18">
        <f t="shared" si="3"/>
        <v>16.399999999999999</v>
      </c>
      <c r="L37" s="46"/>
    </row>
    <row r="38" spans="1:12">
      <c r="A38" s="6"/>
      <c r="B38" s="15" t="s">
        <v>528</v>
      </c>
      <c r="C38" s="7" t="s">
        <v>11</v>
      </c>
      <c r="D38" s="68">
        <v>36</v>
      </c>
      <c r="E38" s="22"/>
      <c r="F38" s="18">
        <v>5.9</v>
      </c>
      <c r="G38" s="18">
        <v>0.2</v>
      </c>
      <c r="H38" s="18">
        <f t="shared" si="0"/>
        <v>0</v>
      </c>
      <c r="I38" s="18">
        <f t="shared" si="1"/>
        <v>212.4</v>
      </c>
      <c r="J38" s="23">
        <f t="shared" si="2"/>
        <v>7.2</v>
      </c>
      <c r="K38" s="18">
        <f t="shared" si="3"/>
        <v>219.6</v>
      </c>
      <c r="L38" s="46"/>
    </row>
    <row r="39" spans="1:12">
      <c r="A39" s="6">
        <v>62</v>
      </c>
      <c r="B39" s="15" t="s">
        <v>93</v>
      </c>
      <c r="C39" s="7" t="s">
        <v>47</v>
      </c>
      <c r="D39" s="68">
        <v>60</v>
      </c>
      <c r="E39" s="19"/>
      <c r="F39" s="19">
        <v>0.75</v>
      </c>
      <c r="G39" s="18">
        <v>0.15</v>
      </c>
      <c r="H39" s="18">
        <f t="shared" si="0"/>
        <v>0</v>
      </c>
      <c r="I39" s="18">
        <f t="shared" si="1"/>
        <v>45</v>
      </c>
      <c r="J39" s="23">
        <f t="shared" si="2"/>
        <v>9</v>
      </c>
      <c r="K39" s="18">
        <f t="shared" si="3"/>
        <v>54</v>
      </c>
      <c r="L39" s="46"/>
    </row>
    <row r="40" spans="1:12">
      <c r="A40" s="6">
        <v>64</v>
      </c>
      <c r="B40" s="15" t="s">
        <v>94</v>
      </c>
      <c r="C40" s="7" t="s">
        <v>47</v>
      </c>
      <c r="D40" s="68">
        <v>80</v>
      </c>
      <c r="E40" s="19"/>
      <c r="F40" s="19">
        <v>0.38</v>
      </c>
      <c r="G40" s="18">
        <v>0.15</v>
      </c>
      <c r="H40" s="18">
        <f t="shared" si="0"/>
        <v>0</v>
      </c>
      <c r="I40" s="18">
        <f t="shared" si="1"/>
        <v>30.4</v>
      </c>
      <c r="J40" s="23">
        <f t="shared" si="2"/>
        <v>12</v>
      </c>
      <c r="K40" s="18">
        <f t="shared" si="3"/>
        <v>42.4</v>
      </c>
      <c r="L40" s="46"/>
    </row>
    <row r="41" spans="1:12">
      <c r="A41" s="6"/>
      <c r="B41" s="27" t="s">
        <v>92</v>
      </c>
      <c r="C41" s="29" t="s">
        <v>34</v>
      </c>
      <c r="D41" s="68">
        <v>75</v>
      </c>
      <c r="E41" s="19"/>
      <c r="F41" s="19">
        <v>0.08</v>
      </c>
      <c r="G41" s="18">
        <v>0.01</v>
      </c>
      <c r="H41" s="18">
        <f t="shared" si="0"/>
        <v>0</v>
      </c>
      <c r="I41" s="18">
        <f t="shared" si="1"/>
        <v>6</v>
      </c>
      <c r="J41" s="23">
        <f t="shared" si="2"/>
        <v>0.75</v>
      </c>
      <c r="K41" s="18">
        <f t="shared" si="3"/>
        <v>6.75</v>
      </c>
      <c r="L41" s="46"/>
    </row>
    <row r="42" spans="1:12">
      <c r="A42" s="6">
        <v>66</v>
      </c>
      <c r="B42" s="28" t="s">
        <v>88</v>
      </c>
      <c r="C42" s="29" t="s">
        <v>6</v>
      </c>
      <c r="D42" s="68">
        <v>22.8</v>
      </c>
      <c r="E42" s="19">
        <v>5.5</v>
      </c>
      <c r="F42" s="19"/>
      <c r="G42" s="18">
        <v>0.55000000000000004</v>
      </c>
      <c r="H42" s="18">
        <f t="shared" si="0"/>
        <v>125.4</v>
      </c>
      <c r="I42" s="18">
        <f t="shared" si="1"/>
        <v>0</v>
      </c>
      <c r="J42" s="23">
        <f t="shared" si="2"/>
        <v>12.540000000000001</v>
      </c>
      <c r="K42" s="18">
        <f t="shared" si="3"/>
        <v>137.94</v>
      </c>
      <c r="L42" s="46"/>
    </row>
    <row r="43" spans="1:12">
      <c r="A43" s="6">
        <v>67</v>
      </c>
      <c r="B43" s="27" t="s">
        <v>89</v>
      </c>
      <c r="C43" s="7" t="s">
        <v>11</v>
      </c>
      <c r="D43" s="68">
        <v>22</v>
      </c>
      <c r="E43" s="19"/>
      <c r="F43" s="19">
        <v>1.58</v>
      </c>
      <c r="G43" s="18">
        <v>0.03</v>
      </c>
      <c r="H43" s="18">
        <f t="shared" si="0"/>
        <v>0</v>
      </c>
      <c r="I43" s="18">
        <f t="shared" si="1"/>
        <v>34.760000000000005</v>
      </c>
      <c r="J43" s="23">
        <f t="shared" si="2"/>
        <v>0.65999999999999992</v>
      </c>
      <c r="K43" s="18">
        <f t="shared" si="3"/>
        <v>35.42</v>
      </c>
      <c r="L43" s="46"/>
    </row>
    <row r="44" spans="1:12">
      <c r="A44" s="6">
        <v>68</v>
      </c>
      <c r="B44" s="27" t="s">
        <v>90</v>
      </c>
      <c r="C44" s="7" t="s">
        <v>11</v>
      </c>
      <c r="D44" s="68">
        <v>7</v>
      </c>
      <c r="E44" s="19"/>
      <c r="F44" s="19">
        <v>1.84</v>
      </c>
      <c r="G44" s="18">
        <v>0.03</v>
      </c>
      <c r="H44" s="18">
        <f t="shared" si="0"/>
        <v>0</v>
      </c>
      <c r="I44" s="18">
        <f t="shared" si="1"/>
        <v>12.88</v>
      </c>
      <c r="J44" s="23">
        <f t="shared" si="2"/>
        <v>0.21</v>
      </c>
      <c r="K44" s="18">
        <f t="shared" si="3"/>
        <v>13.090000000000002</v>
      </c>
      <c r="L44" s="46"/>
    </row>
    <row r="45" spans="1:12">
      <c r="A45" s="6">
        <v>69</v>
      </c>
      <c r="B45" s="15" t="s">
        <v>527</v>
      </c>
      <c r="C45" s="7" t="s">
        <v>11</v>
      </c>
      <c r="D45" s="68">
        <v>8</v>
      </c>
      <c r="E45" s="19"/>
      <c r="F45" s="18">
        <v>3.8</v>
      </c>
      <c r="G45" s="18">
        <v>0.3</v>
      </c>
      <c r="H45" s="18">
        <f t="shared" si="0"/>
        <v>0</v>
      </c>
      <c r="I45" s="18">
        <f t="shared" si="1"/>
        <v>30.4</v>
      </c>
      <c r="J45" s="23">
        <f t="shared" si="2"/>
        <v>2.4</v>
      </c>
      <c r="K45" s="18">
        <f t="shared" si="3"/>
        <v>32.799999999999997</v>
      </c>
      <c r="L45" s="46"/>
    </row>
    <row r="46" spans="1:12">
      <c r="A46" s="6">
        <v>70</v>
      </c>
      <c r="B46" s="27" t="s">
        <v>149</v>
      </c>
      <c r="C46" s="29" t="s">
        <v>11</v>
      </c>
      <c r="D46" s="68">
        <v>23</v>
      </c>
      <c r="E46" s="19"/>
      <c r="F46" s="19">
        <v>0.65</v>
      </c>
      <c r="G46" s="18">
        <v>0.01</v>
      </c>
      <c r="H46" s="18">
        <f t="shared" si="0"/>
        <v>0</v>
      </c>
      <c r="I46" s="18">
        <f t="shared" si="1"/>
        <v>14.950000000000001</v>
      </c>
      <c r="J46" s="23">
        <f t="shared" si="2"/>
        <v>0.23</v>
      </c>
      <c r="K46" s="18">
        <f t="shared" si="3"/>
        <v>15.180000000000001</v>
      </c>
      <c r="L46" s="46"/>
    </row>
    <row r="47" spans="1:12">
      <c r="A47" s="6">
        <v>71</v>
      </c>
      <c r="B47" s="27" t="s">
        <v>91</v>
      </c>
      <c r="C47" s="29" t="s">
        <v>6</v>
      </c>
      <c r="D47" s="68">
        <v>16</v>
      </c>
      <c r="E47" s="19"/>
      <c r="F47" s="18">
        <v>3.6</v>
      </c>
      <c r="G47" s="18">
        <v>0.3</v>
      </c>
      <c r="H47" s="18">
        <f t="shared" si="0"/>
        <v>0</v>
      </c>
      <c r="I47" s="18">
        <f t="shared" si="1"/>
        <v>57.6</v>
      </c>
      <c r="J47" s="23">
        <f t="shared" si="2"/>
        <v>4.8</v>
      </c>
      <c r="K47" s="18">
        <f t="shared" si="3"/>
        <v>62.4</v>
      </c>
      <c r="L47" s="46"/>
    </row>
    <row r="48" spans="1:12">
      <c r="A48" s="6">
        <v>72</v>
      </c>
      <c r="B48" s="27" t="s">
        <v>92</v>
      </c>
      <c r="C48" s="29" t="s">
        <v>34</v>
      </c>
      <c r="D48" s="68">
        <v>30</v>
      </c>
      <c r="E48" s="19"/>
      <c r="F48" s="19">
        <v>0.08</v>
      </c>
      <c r="G48" s="18">
        <v>0.01</v>
      </c>
      <c r="H48" s="18">
        <f t="shared" si="0"/>
        <v>0</v>
      </c>
      <c r="I48" s="18">
        <f t="shared" si="1"/>
        <v>2.4</v>
      </c>
      <c r="J48" s="23">
        <f t="shared" si="2"/>
        <v>0.3</v>
      </c>
      <c r="K48" s="18">
        <f t="shared" si="3"/>
        <v>2.6999999999999997</v>
      </c>
      <c r="L48" s="46"/>
    </row>
    <row r="49" spans="1:12">
      <c r="A49" s="6">
        <v>73</v>
      </c>
      <c r="B49" s="15" t="s">
        <v>93</v>
      </c>
      <c r="C49" s="7" t="s">
        <v>47</v>
      </c>
      <c r="D49" s="68">
        <v>20</v>
      </c>
      <c r="E49" s="19"/>
      <c r="F49" s="19">
        <v>0.75</v>
      </c>
      <c r="G49" s="18">
        <v>0.15</v>
      </c>
      <c r="H49" s="18">
        <f t="shared" si="0"/>
        <v>0</v>
      </c>
      <c r="I49" s="18">
        <f t="shared" si="1"/>
        <v>15</v>
      </c>
      <c r="J49" s="23">
        <f t="shared" si="2"/>
        <v>3</v>
      </c>
      <c r="K49" s="18">
        <f t="shared" si="3"/>
        <v>18</v>
      </c>
      <c r="L49" s="46"/>
    </row>
    <row r="50" spans="1:12">
      <c r="A50" s="6">
        <v>74</v>
      </c>
      <c r="B50" s="15" t="s">
        <v>94</v>
      </c>
      <c r="C50" s="7" t="s">
        <v>47</v>
      </c>
      <c r="D50" s="68">
        <v>20</v>
      </c>
      <c r="E50" s="19"/>
      <c r="F50" s="19">
        <v>0.38</v>
      </c>
      <c r="G50" s="18">
        <v>0.15</v>
      </c>
      <c r="H50" s="18">
        <f t="shared" si="0"/>
        <v>0</v>
      </c>
      <c r="I50" s="18">
        <f t="shared" si="1"/>
        <v>7.6</v>
      </c>
      <c r="J50" s="23">
        <f t="shared" si="2"/>
        <v>3</v>
      </c>
      <c r="K50" s="18">
        <f t="shared" si="3"/>
        <v>10.6</v>
      </c>
      <c r="L50" s="46"/>
    </row>
    <row r="51" spans="1:12">
      <c r="A51" s="6">
        <v>75</v>
      </c>
      <c r="B51" s="15" t="s">
        <v>95</v>
      </c>
      <c r="C51" s="7" t="s">
        <v>47</v>
      </c>
      <c r="D51" s="68">
        <v>5</v>
      </c>
      <c r="E51" s="19"/>
      <c r="F51" s="19">
        <v>1.0900000000000001</v>
      </c>
      <c r="G51" s="18">
        <v>0.01</v>
      </c>
      <c r="H51" s="18">
        <f t="shared" si="0"/>
        <v>0</v>
      </c>
      <c r="I51" s="18">
        <f t="shared" si="1"/>
        <v>5.45</v>
      </c>
      <c r="J51" s="23">
        <f t="shared" si="2"/>
        <v>0.05</v>
      </c>
      <c r="K51" s="18">
        <f t="shared" si="3"/>
        <v>5.5</v>
      </c>
      <c r="L51" s="46"/>
    </row>
    <row r="52" spans="1:12">
      <c r="A52" s="6">
        <v>76</v>
      </c>
      <c r="B52" s="28" t="s">
        <v>529</v>
      </c>
      <c r="C52" s="29" t="s">
        <v>6</v>
      </c>
      <c r="D52" s="68">
        <v>44</v>
      </c>
      <c r="E52" s="22">
        <v>5.6</v>
      </c>
      <c r="F52" s="18"/>
      <c r="G52" s="18"/>
      <c r="H52" s="18">
        <f t="shared" si="0"/>
        <v>246.39999999999998</v>
      </c>
      <c r="I52" s="18">
        <f t="shared" si="1"/>
        <v>0</v>
      </c>
      <c r="J52" s="23">
        <f t="shared" si="2"/>
        <v>0</v>
      </c>
      <c r="K52" s="18">
        <f t="shared" si="3"/>
        <v>246.39999999999998</v>
      </c>
      <c r="L52" s="46"/>
    </row>
    <row r="53" spans="1:12">
      <c r="A53" s="6">
        <v>77</v>
      </c>
      <c r="B53" s="15" t="s">
        <v>321</v>
      </c>
      <c r="C53" s="7" t="s">
        <v>13</v>
      </c>
      <c r="D53" s="68">
        <v>2</v>
      </c>
      <c r="E53" s="22"/>
      <c r="F53" s="18">
        <v>84</v>
      </c>
      <c r="G53" s="18">
        <v>6.6</v>
      </c>
      <c r="H53" s="18">
        <f t="shared" si="0"/>
        <v>0</v>
      </c>
      <c r="I53" s="18">
        <f t="shared" si="1"/>
        <v>168</v>
      </c>
      <c r="J53" s="23">
        <f t="shared" si="2"/>
        <v>13.2</v>
      </c>
      <c r="K53" s="18">
        <f t="shared" si="3"/>
        <v>181.2</v>
      </c>
      <c r="L53" s="46"/>
    </row>
    <row r="54" spans="1:12">
      <c r="A54" s="6">
        <v>78</v>
      </c>
      <c r="B54" s="27" t="s">
        <v>524</v>
      </c>
      <c r="C54" s="7" t="s">
        <v>6</v>
      </c>
      <c r="D54" s="68">
        <v>49</v>
      </c>
      <c r="E54" s="22"/>
      <c r="F54" s="18">
        <v>3.85</v>
      </c>
      <c r="G54" s="18">
        <v>1.2</v>
      </c>
      <c r="H54" s="18">
        <f t="shared" si="0"/>
        <v>0</v>
      </c>
      <c r="I54" s="18">
        <f t="shared" si="1"/>
        <v>188.65</v>
      </c>
      <c r="J54" s="23">
        <f t="shared" si="2"/>
        <v>58.8</v>
      </c>
      <c r="K54" s="18">
        <f t="shared" si="3"/>
        <v>247.45</v>
      </c>
      <c r="L54" s="46"/>
    </row>
    <row r="55" spans="1:12">
      <c r="A55" s="6">
        <v>79</v>
      </c>
      <c r="B55" s="15" t="s">
        <v>530</v>
      </c>
      <c r="C55" s="7" t="s">
        <v>13</v>
      </c>
      <c r="D55" s="68">
        <v>1.3</v>
      </c>
      <c r="E55" s="22"/>
      <c r="F55" s="18">
        <v>84</v>
      </c>
      <c r="G55" s="18">
        <v>6.6</v>
      </c>
      <c r="H55" s="18">
        <f t="shared" si="0"/>
        <v>0</v>
      </c>
      <c r="I55" s="18">
        <f t="shared" si="1"/>
        <v>109.2</v>
      </c>
      <c r="J55" s="23">
        <f t="shared" si="2"/>
        <v>8.58</v>
      </c>
      <c r="K55" s="18">
        <f t="shared" si="3"/>
        <v>117.78</v>
      </c>
      <c r="L55" s="46"/>
    </row>
    <row r="56" spans="1:12">
      <c r="A56" s="6">
        <v>80</v>
      </c>
      <c r="B56" s="15" t="s">
        <v>531</v>
      </c>
      <c r="C56" s="29" t="s">
        <v>6</v>
      </c>
      <c r="D56" s="68">
        <v>44</v>
      </c>
      <c r="E56" s="22"/>
      <c r="F56" s="18">
        <v>1.84</v>
      </c>
      <c r="G56" s="18">
        <v>0.55000000000000004</v>
      </c>
      <c r="H56" s="18">
        <f t="shared" si="0"/>
        <v>0</v>
      </c>
      <c r="I56" s="18">
        <f t="shared" si="1"/>
        <v>80.960000000000008</v>
      </c>
      <c r="J56" s="23">
        <f t="shared" si="2"/>
        <v>24.200000000000003</v>
      </c>
      <c r="K56" s="18">
        <f t="shared" si="3"/>
        <v>105.16000000000001</v>
      </c>
      <c r="L56" s="46"/>
    </row>
    <row r="57" spans="1:12">
      <c r="A57" s="6">
        <v>81</v>
      </c>
      <c r="B57" s="27" t="s">
        <v>149</v>
      </c>
      <c r="C57" s="29" t="s">
        <v>11</v>
      </c>
      <c r="D57" s="68">
        <v>44</v>
      </c>
      <c r="E57" s="19"/>
      <c r="F57" s="19">
        <v>0.65</v>
      </c>
      <c r="G57" s="18">
        <v>0.01</v>
      </c>
      <c r="H57" s="18">
        <f t="shared" si="0"/>
        <v>0</v>
      </c>
      <c r="I57" s="18">
        <f t="shared" si="1"/>
        <v>28.6</v>
      </c>
      <c r="J57" s="23">
        <f t="shared" si="2"/>
        <v>0.44</v>
      </c>
      <c r="K57" s="18">
        <f t="shared" si="3"/>
        <v>29.040000000000003</v>
      </c>
      <c r="L57" s="46"/>
    </row>
    <row r="58" spans="1:12">
      <c r="A58" s="6">
        <v>82</v>
      </c>
      <c r="B58" s="28" t="s">
        <v>532</v>
      </c>
      <c r="C58" s="29" t="s">
        <v>11</v>
      </c>
      <c r="D58" s="68">
        <v>5.5</v>
      </c>
      <c r="E58" s="22">
        <v>15</v>
      </c>
      <c r="F58" s="18">
        <v>22</v>
      </c>
      <c r="G58" s="18">
        <v>25</v>
      </c>
      <c r="H58" s="18">
        <f t="shared" si="0"/>
        <v>82.5</v>
      </c>
      <c r="I58" s="18">
        <f t="shared" si="1"/>
        <v>121</v>
      </c>
      <c r="J58" s="23">
        <f t="shared" si="2"/>
        <v>137.5</v>
      </c>
      <c r="K58" s="18">
        <f t="shared" si="3"/>
        <v>341</v>
      </c>
      <c r="L58" s="46"/>
    </row>
    <row r="59" spans="1:12">
      <c r="A59" s="6">
        <v>83</v>
      </c>
      <c r="B59" s="28" t="s">
        <v>533</v>
      </c>
      <c r="C59" s="29" t="s">
        <v>11</v>
      </c>
      <c r="D59" s="68">
        <v>6</v>
      </c>
      <c r="E59" s="22">
        <v>16</v>
      </c>
      <c r="F59" s="18">
        <v>2.44</v>
      </c>
      <c r="G59" s="18"/>
      <c r="H59" s="18">
        <f t="shared" si="0"/>
        <v>96</v>
      </c>
      <c r="I59" s="18">
        <f t="shared" si="1"/>
        <v>14.64</v>
      </c>
      <c r="J59" s="23">
        <f t="shared" si="2"/>
        <v>0</v>
      </c>
      <c r="K59" s="18">
        <f t="shared" si="3"/>
        <v>110.64</v>
      </c>
      <c r="L59" s="46"/>
    </row>
    <row r="60" spans="1:12">
      <c r="A60" s="6"/>
      <c r="B60" s="27" t="s">
        <v>80</v>
      </c>
      <c r="C60" s="29" t="s">
        <v>11</v>
      </c>
      <c r="D60" s="68">
        <v>5.5</v>
      </c>
      <c r="E60" s="22"/>
      <c r="F60" s="18">
        <v>108</v>
      </c>
      <c r="G60" s="18"/>
      <c r="H60" s="18">
        <f t="shared" si="0"/>
        <v>0</v>
      </c>
      <c r="I60" s="18">
        <f t="shared" si="1"/>
        <v>594</v>
      </c>
      <c r="J60" s="23">
        <f t="shared" si="2"/>
        <v>0</v>
      </c>
      <c r="K60" s="18">
        <f t="shared" si="3"/>
        <v>594</v>
      </c>
      <c r="L60" s="46"/>
    </row>
    <row r="61" spans="1:12">
      <c r="A61" s="6"/>
      <c r="B61" s="15" t="s">
        <v>156</v>
      </c>
      <c r="C61" s="29" t="s">
        <v>11</v>
      </c>
      <c r="D61" s="68">
        <v>2</v>
      </c>
      <c r="E61" s="22"/>
      <c r="F61" s="18">
        <v>116</v>
      </c>
      <c r="G61" s="18">
        <v>4.5999999999999996</v>
      </c>
      <c r="H61" s="18">
        <f t="shared" si="0"/>
        <v>0</v>
      </c>
      <c r="I61" s="18">
        <f t="shared" si="1"/>
        <v>232</v>
      </c>
      <c r="J61" s="23">
        <f t="shared" si="2"/>
        <v>9.1999999999999993</v>
      </c>
      <c r="K61" s="18">
        <f t="shared" si="3"/>
        <v>241.2</v>
      </c>
      <c r="L61" s="46"/>
    </row>
    <row r="62" spans="1:12">
      <c r="A62" s="6"/>
      <c r="B62" s="15" t="s">
        <v>534</v>
      </c>
      <c r="C62" s="29" t="s">
        <v>11</v>
      </c>
      <c r="D62" s="68">
        <v>4</v>
      </c>
      <c r="E62" s="22"/>
      <c r="F62" s="18">
        <v>46</v>
      </c>
      <c r="G62" s="18">
        <v>4.5999999999999996</v>
      </c>
      <c r="H62" s="18">
        <f t="shared" si="0"/>
        <v>0</v>
      </c>
      <c r="I62" s="18">
        <f t="shared" si="1"/>
        <v>184</v>
      </c>
      <c r="J62" s="23">
        <f t="shared" si="2"/>
        <v>18.399999999999999</v>
      </c>
      <c r="K62" s="18">
        <f t="shared" si="3"/>
        <v>202.4</v>
      </c>
      <c r="L62" s="46"/>
    </row>
    <row r="63" spans="1:12">
      <c r="A63" s="6"/>
      <c r="B63" s="28" t="s">
        <v>537</v>
      </c>
      <c r="C63" s="29" t="s">
        <v>34</v>
      </c>
      <c r="D63" s="68">
        <v>83.2</v>
      </c>
      <c r="E63" s="69">
        <v>0.6</v>
      </c>
      <c r="F63" s="19">
        <v>0.98</v>
      </c>
      <c r="G63" s="19">
        <v>0.23</v>
      </c>
      <c r="H63" s="18">
        <f t="shared" si="0"/>
        <v>49.92</v>
      </c>
      <c r="I63" s="18">
        <f t="shared" si="1"/>
        <v>81.536000000000001</v>
      </c>
      <c r="J63" s="23">
        <f t="shared" si="2"/>
        <v>19.136000000000003</v>
      </c>
      <c r="K63" s="18">
        <f t="shared" si="3"/>
        <v>150.59200000000001</v>
      </c>
    </row>
    <row r="64" spans="1:12">
      <c r="A64" s="6"/>
      <c r="B64" s="28" t="s">
        <v>96</v>
      </c>
      <c r="C64" s="29" t="s">
        <v>6</v>
      </c>
      <c r="D64" s="68">
        <v>20.399999999999999</v>
      </c>
      <c r="E64" s="19">
        <v>5.5</v>
      </c>
      <c r="F64" s="19"/>
      <c r="G64" s="19">
        <v>0.38</v>
      </c>
      <c r="H64" s="18">
        <f t="shared" si="0"/>
        <v>112.19999999999999</v>
      </c>
      <c r="I64" s="18">
        <f t="shared" si="1"/>
        <v>0</v>
      </c>
      <c r="J64" s="23">
        <f t="shared" si="2"/>
        <v>7.7519999999999998</v>
      </c>
      <c r="K64" s="18">
        <f t="shared" si="3"/>
        <v>119.95199999999998</v>
      </c>
    </row>
    <row r="65" spans="1:11">
      <c r="A65" s="6"/>
      <c r="B65" s="27" t="s">
        <v>89</v>
      </c>
      <c r="C65" s="7" t="s">
        <v>11</v>
      </c>
      <c r="D65" s="68">
        <v>20</v>
      </c>
      <c r="E65" s="19"/>
      <c r="F65" s="19">
        <v>1.58</v>
      </c>
      <c r="G65" s="18">
        <v>0.03</v>
      </c>
      <c r="H65" s="18">
        <f t="shared" si="0"/>
        <v>0</v>
      </c>
      <c r="I65" s="18">
        <f t="shared" si="1"/>
        <v>31.6</v>
      </c>
      <c r="J65" s="23">
        <f t="shared" si="2"/>
        <v>0.6</v>
      </c>
      <c r="K65" s="18">
        <f t="shared" si="3"/>
        <v>32.200000000000003</v>
      </c>
    </row>
    <row r="66" spans="1:11">
      <c r="A66" s="6"/>
      <c r="B66" s="27" t="s">
        <v>90</v>
      </c>
      <c r="C66" s="7" t="s">
        <v>11</v>
      </c>
      <c r="D66" s="68">
        <v>8</v>
      </c>
      <c r="E66" s="19"/>
      <c r="F66" s="19">
        <v>1.84</v>
      </c>
      <c r="G66" s="18">
        <v>0.03</v>
      </c>
      <c r="H66" s="18">
        <f t="shared" si="0"/>
        <v>0</v>
      </c>
      <c r="I66" s="18">
        <f t="shared" si="1"/>
        <v>14.72</v>
      </c>
      <c r="J66" s="23">
        <f t="shared" si="2"/>
        <v>0.24</v>
      </c>
      <c r="K66" s="18">
        <f t="shared" si="3"/>
        <v>14.96</v>
      </c>
    </row>
    <row r="67" spans="1:11">
      <c r="A67" s="6"/>
      <c r="B67" s="27" t="s">
        <v>535</v>
      </c>
      <c r="C67" s="29" t="s">
        <v>34</v>
      </c>
      <c r="D67" s="68">
        <v>44</v>
      </c>
      <c r="E67" s="19"/>
      <c r="F67" s="19">
        <v>0.34</v>
      </c>
      <c r="G67" s="18">
        <v>0.01</v>
      </c>
      <c r="H67" s="18">
        <f t="shared" si="0"/>
        <v>0</v>
      </c>
      <c r="I67" s="18">
        <f t="shared" si="1"/>
        <v>14.96</v>
      </c>
      <c r="J67" s="23">
        <f t="shared" si="2"/>
        <v>0.44</v>
      </c>
      <c r="K67" s="18">
        <f t="shared" si="3"/>
        <v>15.4</v>
      </c>
    </row>
    <row r="68" spans="1:11">
      <c r="A68" s="6"/>
      <c r="B68" s="27" t="s">
        <v>149</v>
      </c>
      <c r="C68" s="29" t="s">
        <v>11</v>
      </c>
      <c r="D68" s="68">
        <v>20.399999999999999</v>
      </c>
      <c r="E68" s="19"/>
      <c r="F68" s="19">
        <v>0.65</v>
      </c>
      <c r="G68" s="18">
        <v>0.01</v>
      </c>
      <c r="H68" s="18">
        <f t="shared" si="0"/>
        <v>0</v>
      </c>
      <c r="I68" s="18">
        <f t="shared" si="1"/>
        <v>13.26</v>
      </c>
      <c r="J68" s="23">
        <f t="shared" si="2"/>
        <v>0.20399999999999999</v>
      </c>
      <c r="K68" s="18">
        <f t="shared" si="3"/>
        <v>13.464</v>
      </c>
    </row>
    <row r="69" spans="1:11">
      <c r="A69" s="6"/>
      <c r="B69" s="27" t="s">
        <v>91</v>
      </c>
      <c r="C69" s="29" t="s">
        <v>11</v>
      </c>
      <c r="D69" s="68">
        <v>23</v>
      </c>
      <c r="E69" s="19"/>
      <c r="F69" s="19">
        <v>3.6</v>
      </c>
      <c r="G69" s="18">
        <v>0.3</v>
      </c>
      <c r="H69" s="18">
        <f t="shared" si="0"/>
        <v>0</v>
      </c>
      <c r="I69" s="18">
        <f t="shared" si="1"/>
        <v>82.8</v>
      </c>
      <c r="J69" s="23">
        <f t="shared" si="2"/>
        <v>6.8999999999999995</v>
      </c>
      <c r="K69" s="18">
        <f t="shared" si="3"/>
        <v>89.7</v>
      </c>
    </row>
    <row r="70" spans="1:11">
      <c r="A70" s="6"/>
      <c r="B70" s="27" t="s">
        <v>92</v>
      </c>
      <c r="C70" s="29" t="s">
        <v>34</v>
      </c>
      <c r="D70" s="68">
        <v>50</v>
      </c>
      <c r="E70" s="19"/>
      <c r="F70" s="19">
        <v>0.03</v>
      </c>
      <c r="G70" s="18">
        <v>0.01</v>
      </c>
      <c r="H70" s="18">
        <f t="shared" si="0"/>
        <v>0</v>
      </c>
      <c r="I70" s="18">
        <f t="shared" si="1"/>
        <v>1.5</v>
      </c>
      <c r="J70" s="23">
        <f t="shared" si="2"/>
        <v>0.5</v>
      </c>
      <c r="K70" s="18">
        <f t="shared" si="3"/>
        <v>2</v>
      </c>
    </row>
    <row r="71" spans="1:11">
      <c r="A71" s="6"/>
      <c r="B71" s="15" t="s">
        <v>93</v>
      </c>
      <c r="C71" s="7" t="s">
        <v>47</v>
      </c>
      <c r="D71" s="68">
        <v>20</v>
      </c>
      <c r="E71" s="19"/>
      <c r="F71" s="19">
        <v>0.75</v>
      </c>
      <c r="G71" s="18">
        <v>0.15</v>
      </c>
      <c r="H71" s="18">
        <f t="shared" si="0"/>
        <v>0</v>
      </c>
      <c r="I71" s="18">
        <f t="shared" si="1"/>
        <v>15</v>
      </c>
      <c r="J71" s="23">
        <f t="shared" si="2"/>
        <v>3</v>
      </c>
      <c r="K71" s="18">
        <f t="shared" si="3"/>
        <v>18</v>
      </c>
    </row>
    <row r="72" spans="1:11">
      <c r="A72" s="6"/>
      <c r="B72" s="15" t="s">
        <v>94</v>
      </c>
      <c r="C72" s="7" t="s">
        <v>47</v>
      </c>
      <c r="D72" s="68">
        <v>20</v>
      </c>
      <c r="E72" s="19"/>
      <c r="F72" s="19">
        <v>0.38</v>
      </c>
      <c r="G72" s="18">
        <v>0.15</v>
      </c>
      <c r="H72" s="18">
        <f t="shared" ref="H72:H116" si="4">D72*E72</f>
        <v>0</v>
      </c>
      <c r="I72" s="18">
        <f t="shared" ref="I72:I116" si="5">D72*F72</f>
        <v>7.6</v>
      </c>
      <c r="J72" s="23">
        <f t="shared" ref="J72:J116" si="6">D72*G72</f>
        <v>3</v>
      </c>
      <c r="K72" s="18">
        <f t="shared" ref="K72:K116" si="7">H72+I72+J72</f>
        <v>10.6</v>
      </c>
    </row>
    <row r="73" spans="1:11">
      <c r="A73" s="6"/>
      <c r="B73" s="15" t="s">
        <v>95</v>
      </c>
      <c r="C73" s="7" t="s">
        <v>47</v>
      </c>
      <c r="D73" s="68">
        <v>5</v>
      </c>
      <c r="E73" s="19"/>
      <c r="F73" s="19">
        <v>1.0900000000000001</v>
      </c>
      <c r="G73" s="18">
        <v>0.01</v>
      </c>
      <c r="H73" s="18">
        <f t="shared" si="4"/>
        <v>0</v>
      </c>
      <c r="I73" s="18">
        <f t="shared" si="5"/>
        <v>5.45</v>
      </c>
      <c r="J73" s="23">
        <f t="shared" si="6"/>
        <v>0.05</v>
      </c>
      <c r="K73" s="18">
        <f t="shared" si="7"/>
        <v>5.5</v>
      </c>
    </row>
    <row r="74" spans="1:11">
      <c r="A74" s="6"/>
      <c r="B74" s="28" t="s">
        <v>98</v>
      </c>
      <c r="C74" s="29" t="s">
        <v>6</v>
      </c>
      <c r="D74" s="68"/>
      <c r="E74" s="19"/>
      <c r="F74" s="19"/>
      <c r="G74" s="19"/>
      <c r="H74" s="18">
        <f t="shared" si="4"/>
        <v>0</v>
      </c>
      <c r="I74" s="18">
        <f t="shared" si="5"/>
        <v>0</v>
      </c>
      <c r="J74" s="23">
        <f t="shared" si="6"/>
        <v>0</v>
      </c>
      <c r="K74" s="18">
        <f t="shared" si="7"/>
        <v>0</v>
      </c>
    </row>
    <row r="75" spans="1:11">
      <c r="A75" s="6"/>
      <c r="B75" s="27" t="s">
        <v>99</v>
      </c>
      <c r="C75" s="29" t="s">
        <v>6</v>
      </c>
      <c r="D75" s="68">
        <v>4.42</v>
      </c>
      <c r="E75" s="19">
        <v>5.6</v>
      </c>
      <c r="F75" s="19"/>
      <c r="G75" s="19">
        <v>0.5</v>
      </c>
      <c r="H75" s="18">
        <f t="shared" si="4"/>
        <v>24.751999999999999</v>
      </c>
      <c r="I75" s="18">
        <f t="shared" si="5"/>
        <v>0</v>
      </c>
      <c r="J75" s="23">
        <f t="shared" si="6"/>
        <v>2.21</v>
      </c>
      <c r="K75" s="18">
        <f t="shared" si="7"/>
        <v>26.962</v>
      </c>
    </row>
    <row r="76" spans="1:11">
      <c r="A76" s="6"/>
      <c r="B76" s="27" t="s">
        <v>100</v>
      </c>
      <c r="C76" s="29" t="s">
        <v>6</v>
      </c>
      <c r="D76" s="68">
        <v>4.9000000000000004</v>
      </c>
      <c r="E76" s="19">
        <v>5.6</v>
      </c>
      <c r="F76" s="19"/>
      <c r="G76" s="19">
        <v>0.5</v>
      </c>
      <c r="H76" s="18">
        <f t="shared" si="4"/>
        <v>27.44</v>
      </c>
      <c r="I76" s="18">
        <f t="shared" si="5"/>
        <v>0</v>
      </c>
      <c r="J76" s="23">
        <f t="shared" si="6"/>
        <v>2.4500000000000002</v>
      </c>
      <c r="K76" s="18">
        <f t="shared" si="7"/>
        <v>29.89</v>
      </c>
    </row>
    <row r="77" spans="1:11">
      <c r="A77" s="6"/>
      <c r="B77" s="27" t="s">
        <v>101</v>
      </c>
      <c r="C77" s="29" t="s">
        <v>6</v>
      </c>
      <c r="D77" s="68">
        <v>4.5999999999999996</v>
      </c>
      <c r="E77" s="19"/>
      <c r="F77" s="19">
        <v>6.5</v>
      </c>
      <c r="G77" s="19"/>
      <c r="H77" s="18">
        <f t="shared" si="4"/>
        <v>0</v>
      </c>
      <c r="I77" s="18">
        <f t="shared" si="5"/>
        <v>29.9</v>
      </c>
      <c r="J77" s="23">
        <f t="shared" si="6"/>
        <v>0</v>
      </c>
      <c r="K77" s="18">
        <f t="shared" si="7"/>
        <v>29.9</v>
      </c>
    </row>
    <row r="78" spans="1:11">
      <c r="A78" s="6"/>
      <c r="B78" s="27" t="s">
        <v>102</v>
      </c>
      <c r="C78" s="29" t="s">
        <v>6</v>
      </c>
      <c r="D78" s="68">
        <v>5.12</v>
      </c>
      <c r="E78" s="19"/>
      <c r="F78" s="19">
        <v>5.6</v>
      </c>
      <c r="G78" s="19"/>
      <c r="H78" s="18">
        <f t="shared" si="4"/>
        <v>0</v>
      </c>
      <c r="I78" s="18">
        <f t="shared" si="5"/>
        <v>28.671999999999997</v>
      </c>
      <c r="J78" s="23">
        <f t="shared" si="6"/>
        <v>0</v>
      </c>
      <c r="K78" s="18">
        <f t="shared" si="7"/>
        <v>28.671999999999997</v>
      </c>
    </row>
    <row r="79" spans="1:11">
      <c r="A79" s="6"/>
      <c r="B79" s="27" t="s">
        <v>58</v>
      </c>
      <c r="C79" s="7" t="s">
        <v>47</v>
      </c>
      <c r="D79" s="68">
        <v>50</v>
      </c>
      <c r="E79" s="19"/>
      <c r="F79" s="19">
        <v>0.23</v>
      </c>
      <c r="G79" s="19"/>
      <c r="H79" s="18">
        <f t="shared" si="4"/>
        <v>0</v>
      </c>
      <c r="I79" s="18">
        <f t="shared" si="5"/>
        <v>11.5</v>
      </c>
      <c r="J79" s="23">
        <f t="shared" si="6"/>
        <v>0</v>
      </c>
      <c r="K79" s="18">
        <f t="shared" si="7"/>
        <v>11.5</v>
      </c>
    </row>
    <row r="80" spans="1:11">
      <c r="A80" s="6"/>
      <c r="B80" s="27" t="s">
        <v>59</v>
      </c>
      <c r="C80" s="7" t="s">
        <v>47</v>
      </c>
      <c r="D80" s="68">
        <v>4</v>
      </c>
      <c r="E80" s="19"/>
      <c r="F80" s="19">
        <v>1.97</v>
      </c>
      <c r="G80" s="19"/>
      <c r="H80" s="18">
        <f t="shared" si="4"/>
        <v>0</v>
      </c>
      <c r="I80" s="18">
        <f t="shared" si="5"/>
        <v>7.88</v>
      </c>
      <c r="J80" s="23">
        <f t="shared" si="6"/>
        <v>0</v>
      </c>
      <c r="K80" s="18">
        <f t="shared" si="7"/>
        <v>7.88</v>
      </c>
    </row>
    <row r="81" spans="1:12">
      <c r="A81" s="6"/>
      <c r="B81" s="27" t="s">
        <v>536</v>
      </c>
      <c r="C81" s="29" t="s">
        <v>6</v>
      </c>
      <c r="D81" s="68">
        <v>13</v>
      </c>
      <c r="E81" s="19">
        <v>0.8</v>
      </c>
      <c r="F81" s="19">
        <v>4.9000000000000004</v>
      </c>
      <c r="G81" s="19">
        <v>0.18</v>
      </c>
      <c r="H81" s="18">
        <f t="shared" si="4"/>
        <v>10.4</v>
      </c>
      <c r="I81" s="18">
        <f t="shared" si="5"/>
        <v>63.7</v>
      </c>
      <c r="J81" s="23">
        <f t="shared" si="6"/>
        <v>2.34</v>
      </c>
      <c r="K81" s="18">
        <f t="shared" si="7"/>
        <v>76.440000000000012</v>
      </c>
    </row>
    <row r="82" spans="1:12">
      <c r="A82" s="6"/>
      <c r="B82" s="38" t="s">
        <v>174</v>
      </c>
      <c r="C82" s="37"/>
      <c r="D82" s="68"/>
      <c r="E82" s="19"/>
      <c r="F82" s="19"/>
      <c r="G82" s="19"/>
      <c r="H82" s="18">
        <f t="shared" si="4"/>
        <v>0</v>
      </c>
      <c r="I82" s="18">
        <f t="shared" si="5"/>
        <v>0</v>
      </c>
      <c r="J82" s="23">
        <f t="shared" si="6"/>
        <v>0</v>
      </c>
      <c r="K82" s="18">
        <f t="shared" si="7"/>
        <v>0</v>
      </c>
      <c r="L82" s="46"/>
    </row>
    <row r="83" spans="1:12">
      <c r="A83" s="6"/>
      <c r="B83" s="27" t="s">
        <v>106</v>
      </c>
      <c r="C83" s="29" t="s">
        <v>6</v>
      </c>
      <c r="D83" s="68"/>
      <c r="E83" s="19">
        <v>1.85</v>
      </c>
      <c r="F83" s="19"/>
      <c r="G83" s="19">
        <v>0.15</v>
      </c>
      <c r="H83" s="18">
        <f t="shared" si="4"/>
        <v>0</v>
      </c>
      <c r="I83" s="18">
        <f t="shared" si="5"/>
        <v>0</v>
      </c>
      <c r="J83" s="23">
        <f t="shared" si="6"/>
        <v>0</v>
      </c>
      <c r="K83" s="18">
        <f t="shared" si="7"/>
        <v>0</v>
      </c>
      <c r="L83" s="46"/>
    </row>
    <row r="84" spans="1:12">
      <c r="A84" s="6"/>
      <c r="B84" s="27" t="s">
        <v>107</v>
      </c>
      <c r="C84" s="29" t="s">
        <v>6</v>
      </c>
      <c r="D84" s="68"/>
      <c r="E84" s="19">
        <v>2.0499999999999998</v>
      </c>
      <c r="F84" s="19"/>
      <c r="G84" s="19">
        <v>0.15</v>
      </c>
      <c r="H84" s="18">
        <f t="shared" si="4"/>
        <v>0</v>
      </c>
      <c r="I84" s="18">
        <f t="shared" si="5"/>
        <v>0</v>
      </c>
      <c r="J84" s="23">
        <f t="shared" si="6"/>
        <v>0</v>
      </c>
      <c r="K84" s="18">
        <f t="shared" si="7"/>
        <v>0</v>
      </c>
      <c r="L84" s="46"/>
    </row>
    <row r="85" spans="1:12">
      <c r="A85" s="6"/>
      <c r="B85" s="15" t="s">
        <v>108</v>
      </c>
      <c r="C85" s="7" t="s">
        <v>47</v>
      </c>
      <c r="D85" s="68"/>
      <c r="E85" s="19"/>
      <c r="F85" s="19">
        <v>0.33</v>
      </c>
      <c r="G85" s="19"/>
      <c r="H85" s="18">
        <f t="shared" si="4"/>
        <v>0</v>
      </c>
      <c r="I85" s="18">
        <f t="shared" si="5"/>
        <v>0</v>
      </c>
      <c r="J85" s="23">
        <f t="shared" si="6"/>
        <v>0</v>
      </c>
      <c r="K85" s="18">
        <f t="shared" si="7"/>
        <v>0</v>
      </c>
      <c r="L85" s="46"/>
    </row>
    <row r="86" spans="1:12">
      <c r="A86" s="6"/>
      <c r="B86" s="27" t="s">
        <v>109</v>
      </c>
      <c r="C86" s="29" t="s">
        <v>6</v>
      </c>
      <c r="D86" s="68"/>
      <c r="E86" s="19"/>
      <c r="F86" s="19">
        <v>2.57</v>
      </c>
      <c r="G86" s="19"/>
      <c r="H86" s="18">
        <f t="shared" si="4"/>
        <v>0</v>
      </c>
      <c r="I86" s="18">
        <f t="shared" si="5"/>
        <v>0</v>
      </c>
      <c r="J86" s="23">
        <f t="shared" si="6"/>
        <v>0</v>
      </c>
      <c r="K86" s="18">
        <f t="shared" si="7"/>
        <v>0</v>
      </c>
      <c r="L86" s="46"/>
    </row>
    <row r="87" spans="1:12">
      <c r="A87" s="6"/>
      <c r="B87" s="27" t="s">
        <v>539</v>
      </c>
      <c r="C87" s="7" t="s">
        <v>47</v>
      </c>
      <c r="D87" s="68"/>
      <c r="E87" s="19"/>
      <c r="F87" s="19">
        <v>3.47</v>
      </c>
      <c r="G87" s="18"/>
      <c r="H87" s="18">
        <f t="shared" si="4"/>
        <v>0</v>
      </c>
      <c r="I87" s="18">
        <f t="shared" si="5"/>
        <v>0</v>
      </c>
      <c r="J87" s="23">
        <f t="shared" si="6"/>
        <v>0</v>
      </c>
      <c r="K87" s="18">
        <f t="shared" si="7"/>
        <v>0</v>
      </c>
      <c r="L87" s="46"/>
    </row>
    <row r="88" spans="1:12">
      <c r="A88" s="6"/>
      <c r="B88" s="28" t="s">
        <v>540</v>
      </c>
      <c r="C88" s="29" t="s">
        <v>6</v>
      </c>
      <c r="D88" s="68">
        <v>44</v>
      </c>
      <c r="E88" s="19">
        <v>4.5</v>
      </c>
      <c r="F88" s="19"/>
      <c r="G88" s="18"/>
      <c r="H88" s="18">
        <f t="shared" si="4"/>
        <v>198</v>
      </c>
      <c r="I88" s="18">
        <f t="shared" si="5"/>
        <v>0</v>
      </c>
      <c r="J88" s="23">
        <f t="shared" si="6"/>
        <v>0</v>
      </c>
      <c r="K88" s="18">
        <f t="shared" si="7"/>
        <v>198</v>
      </c>
      <c r="L88" s="46"/>
    </row>
    <row r="89" spans="1:12">
      <c r="A89" s="6"/>
      <c r="B89" s="15" t="s">
        <v>541</v>
      </c>
      <c r="C89" s="7" t="s">
        <v>11</v>
      </c>
      <c r="D89" s="68">
        <v>28</v>
      </c>
      <c r="E89" s="19"/>
      <c r="F89" s="19">
        <v>1.62</v>
      </c>
      <c r="G89" s="18">
        <v>0.15</v>
      </c>
      <c r="H89" s="18">
        <f t="shared" si="4"/>
        <v>0</v>
      </c>
      <c r="I89" s="18">
        <f t="shared" si="5"/>
        <v>45.36</v>
      </c>
      <c r="J89" s="23">
        <f t="shared" si="6"/>
        <v>4.2</v>
      </c>
      <c r="K89" s="18">
        <f t="shared" si="7"/>
        <v>49.56</v>
      </c>
      <c r="L89" s="46"/>
    </row>
    <row r="90" spans="1:12">
      <c r="A90" s="6"/>
      <c r="B90" s="15" t="s">
        <v>542</v>
      </c>
      <c r="C90" s="7" t="s">
        <v>11</v>
      </c>
      <c r="D90" s="68">
        <v>13</v>
      </c>
      <c r="E90" s="19"/>
      <c r="F90" s="19">
        <v>2.11</v>
      </c>
      <c r="G90" s="18">
        <v>0.15</v>
      </c>
      <c r="H90" s="18">
        <f t="shared" si="4"/>
        <v>0</v>
      </c>
      <c r="I90" s="18">
        <f t="shared" si="5"/>
        <v>27.43</v>
      </c>
      <c r="J90" s="23">
        <f t="shared" si="6"/>
        <v>1.95</v>
      </c>
      <c r="K90" s="18">
        <f t="shared" si="7"/>
        <v>29.38</v>
      </c>
      <c r="L90" s="46"/>
    </row>
    <row r="91" spans="1:12">
      <c r="A91" s="6"/>
      <c r="B91" s="15" t="s">
        <v>135</v>
      </c>
      <c r="C91" s="7" t="s">
        <v>11</v>
      </c>
      <c r="D91" s="68">
        <v>40</v>
      </c>
      <c r="E91" s="19"/>
      <c r="F91" s="19">
        <v>0.08</v>
      </c>
      <c r="G91" s="18">
        <v>0.01</v>
      </c>
      <c r="H91" s="18">
        <f t="shared" si="4"/>
        <v>0</v>
      </c>
      <c r="I91" s="18">
        <f t="shared" si="5"/>
        <v>3.2</v>
      </c>
      <c r="J91" s="23">
        <f t="shared" si="6"/>
        <v>0.4</v>
      </c>
      <c r="K91" s="18">
        <f t="shared" si="7"/>
        <v>3.6</v>
      </c>
      <c r="L91" s="46"/>
    </row>
    <row r="92" spans="1:12">
      <c r="A92" s="6"/>
      <c r="B92" s="27" t="s">
        <v>91</v>
      </c>
      <c r="C92" s="7" t="s">
        <v>11</v>
      </c>
      <c r="D92" s="68">
        <v>11</v>
      </c>
      <c r="E92" s="19"/>
      <c r="F92" s="19">
        <v>3.6</v>
      </c>
      <c r="G92" s="18">
        <v>0.3</v>
      </c>
      <c r="H92" s="18">
        <f>D92*E92</f>
        <v>0</v>
      </c>
      <c r="I92" s="18">
        <f>D92*F92</f>
        <v>39.6</v>
      </c>
      <c r="J92" s="23">
        <f>D92*G92</f>
        <v>3.3</v>
      </c>
      <c r="K92" s="18">
        <f t="shared" si="7"/>
        <v>42.9</v>
      </c>
      <c r="L92" s="46"/>
    </row>
    <row r="93" spans="1:12">
      <c r="A93" s="6"/>
      <c r="B93" s="15" t="s">
        <v>527</v>
      </c>
      <c r="C93" s="7" t="s">
        <v>11</v>
      </c>
      <c r="D93" s="68">
        <v>2</v>
      </c>
      <c r="E93" s="19"/>
      <c r="F93" s="18">
        <v>3.8</v>
      </c>
      <c r="G93" s="18">
        <v>0.3</v>
      </c>
      <c r="H93" s="18">
        <f t="shared" si="4"/>
        <v>0</v>
      </c>
      <c r="I93" s="18">
        <f t="shared" si="5"/>
        <v>7.6</v>
      </c>
      <c r="J93" s="23">
        <f t="shared" si="6"/>
        <v>0.6</v>
      </c>
      <c r="K93" s="18">
        <f t="shared" si="7"/>
        <v>8.1999999999999993</v>
      </c>
      <c r="L93" s="46"/>
    </row>
    <row r="94" spans="1:12">
      <c r="A94" s="6"/>
      <c r="B94" s="27" t="s">
        <v>535</v>
      </c>
      <c r="C94" s="29" t="s">
        <v>34</v>
      </c>
      <c r="D94" s="68">
        <v>40</v>
      </c>
      <c r="E94" s="19"/>
      <c r="F94" s="19">
        <v>0.34</v>
      </c>
      <c r="G94" s="18">
        <v>0.01</v>
      </c>
      <c r="H94" s="18">
        <f t="shared" si="4"/>
        <v>0</v>
      </c>
      <c r="I94" s="18">
        <f t="shared" si="5"/>
        <v>13.600000000000001</v>
      </c>
      <c r="J94" s="23">
        <f t="shared" si="6"/>
        <v>0.4</v>
      </c>
      <c r="K94" s="18">
        <f t="shared" si="7"/>
        <v>14.000000000000002</v>
      </c>
      <c r="L94" s="46"/>
    </row>
    <row r="95" spans="1:12">
      <c r="A95" s="6"/>
      <c r="B95" s="15" t="s">
        <v>93</v>
      </c>
      <c r="C95" s="7" t="s">
        <v>47</v>
      </c>
      <c r="D95" s="68">
        <v>20</v>
      </c>
      <c r="E95" s="19"/>
      <c r="F95" s="19">
        <v>0.75</v>
      </c>
      <c r="G95" s="18">
        <v>0.15</v>
      </c>
      <c r="H95" s="18">
        <f t="shared" si="4"/>
        <v>0</v>
      </c>
      <c r="I95" s="18">
        <f t="shared" si="5"/>
        <v>15</v>
      </c>
      <c r="J95" s="23">
        <f t="shared" si="6"/>
        <v>3</v>
      </c>
      <c r="K95" s="18">
        <f t="shared" si="7"/>
        <v>18</v>
      </c>
      <c r="L95" s="46"/>
    </row>
    <row r="96" spans="1:12">
      <c r="A96" s="6"/>
      <c r="B96" s="15" t="s">
        <v>94</v>
      </c>
      <c r="C96" s="7" t="s">
        <v>47</v>
      </c>
      <c r="D96" s="68">
        <v>20</v>
      </c>
      <c r="E96" s="19"/>
      <c r="F96" s="19">
        <v>0.38</v>
      </c>
      <c r="G96" s="18">
        <v>0.15</v>
      </c>
      <c r="H96" s="18">
        <f t="shared" si="4"/>
        <v>0</v>
      </c>
      <c r="I96" s="18">
        <f t="shared" si="5"/>
        <v>7.6</v>
      </c>
      <c r="J96" s="23">
        <f t="shared" si="6"/>
        <v>3</v>
      </c>
      <c r="K96" s="18">
        <f t="shared" si="7"/>
        <v>10.6</v>
      </c>
      <c r="L96" s="46"/>
    </row>
    <row r="97" spans="1:12">
      <c r="A97" s="6"/>
      <c r="B97" s="27" t="s">
        <v>149</v>
      </c>
      <c r="C97" s="29" t="s">
        <v>11</v>
      </c>
      <c r="D97" s="68">
        <v>44</v>
      </c>
      <c r="E97" s="19"/>
      <c r="F97" s="19">
        <v>0.65</v>
      </c>
      <c r="G97" s="18">
        <v>0.01</v>
      </c>
      <c r="H97" s="18">
        <f t="shared" si="4"/>
        <v>0</v>
      </c>
      <c r="I97" s="18">
        <f t="shared" si="5"/>
        <v>28.6</v>
      </c>
      <c r="J97" s="23">
        <f t="shared" si="6"/>
        <v>0.44</v>
      </c>
      <c r="K97" s="18">
        <f t="shared" si="7"/>
        <v>29.040000000000003</v>
      </c>
      <c r="L97" s="46"/>
    </row>
    <row r="98" spans="1:12">
      <c r="A98" s="6"/>
      <c r="B98" s="27" t="s">
        <v>92</v>
      </c>
      <c r="C98" s="29" t="s">
        <v>34</v>
      </c>
      <c r="D98" s="68">
        <v>35</v>
      </c>
      <c r="E98" s="19"/>
      <c r="F98" s="19">
        <v>0.03</v>
      </c>
      <c r="G98" s="18">
        <v>0.01</v>
      </c>
      <c r="H98" s="18">
        <f t="shared" si="4"/>
        <v>0</v>
      </c>
      <c r="I98" s="18">
        <f t="shared" si="5"/>
        <v>1.05</v>
      </c>
      <c r="J98" s="23">
        <f t="shared" si="6"/>
        <v>0.35000000000000003</v>
      </c>
      <c r="K98" s="18">
        <f t="shared" si="7"/>
        <v>1.4000000000000001</v>
      </c>
      <c r="L98" s="46"/>
    </row>
    <row r="99" spans="1:12">
      <c r="A99" s="6"/>
      <c r="B99" s="28" t="s">
        <v>538</v>
      </c>
      <c r="C99" s="29" t="s">
        <v>6</v>
      </c>
      <c r="D99" s="68">
        <v>56</v>
      </c>
      <c r="E99" s="19">
        <v>4.5</v>
      </c>
      <c r="F99" s="19"/>
      <c r="G99" s="19"/>
      <c r="H99" s="18">
        <f t="shared" si="4"/>
        <v>252</v>
      </c>
      <c r="I99" s="18">
        <f t="shared" si="5"/>
        <v>0</v>
      </c>
      <c r="J99" s="23">
        <f t="shared" si="6"/>
        <v>0</v>
      </c>
      <c r="K99" s="18">
        <f t="shared" si="7"/>
        <v>252</v>
      </c>
      <c r="L99" s="46"/>
    </row>
    <row r="100" spans="1:12">
      <c r="A100" s="6"/>
      <c r="B100" s="15" t="s">
        <v>541</v>
      </c>
      <c r="C100" s="7" t="s">
        <v>11</v>
      </c>
      <c r="D100" s="68">
        <v>32</v>
      </c>
      <c r="E100" s="19"/>
      <c r="F100" s="19">
        <v>1.62</v>
      </c>
      <c r="G100" s="18">
        <v>0.15</v>
      </c>
      <c r="H100" s="18">
        <f t="shared" si="4"/>
        <v>0</v>
      </c>
      <c r="I100" s="18">
        <f t="shared" si="5"/>
        <v>51.84</v>
      </c>
      <c r="J100" s="23">
        <f t="shared" si="6"/>
        <v>4.8</v>
      </c>
      <c r="K100" s="18">
        <f t="shared" si="7"/>
        <v>56.64</v>
      </c>
      <c r="L100" s="46"/>
    </row>
    <row r="101" spans="1:12">
      <c r="A101" s="6"/>
      <c r="B101" s="15" t="s">
        <v>542</v>
      </c>
      <c r="C101" s="7" t="s">
        <v>11</v>
      </c>
      <c r="D101" s="68">
        <v>18</v>
      </c>
      <c r="E101" s="19"/>
      <c r="F101" s="19">
        <v>2.11</v>
      </c>
      <c r="G101" s="18">
        <v>0.15</v>
      </c>
      <c r="H101" s="18">
        <f t="shared" si="4"/>
        <v>0</v>
      </c>
      <c r="I101" s="18">
        <f t="shared" si="5"/>
        <v>37.979999999999997</v>
      </c>
      <c r="J101" s="23">
        <f t="shared" si="6"/>
        <v>2.6999999999999997</v>
      </c>
      <c r="K101" s="18">
        <f t="shared" si="7"/>
        <v>40.68</v>
      </c>
      <c r="L101" s="46"/>
    </row>
    <row r="102" spans="1:12">
      <c r="A102" s="6"/>
      <c r="B102" s="15" t="s">
        <v>135</v>
      </c>
      <c r="C102" s="7" t="s">
        <v>11</v>
      </c>
      <c r="D102" s="68">
        <v>52</v>
      </c>
      <c r="E102" s="19"/>
      <c r="F102" s="19">
        <v>0.08</v>
      </c>
      <c r="G102" s="18">
        <v>0.01</v>
      </c>
      <c r="H102" s="18">
        <f>D102*E102</f>
        <v>0</v>
      </c>
      <c r="I102" s="18">
        <f>D102*F102</f>
        <v>4.16</v>
      </c>
      <c r="J102" s="23">
        <f>D102*G102</f>
        <v>0.52</v>
      </c>
      <c r="K102" s="18">
        <f t="shared" si="7"/>
        <v>4.68</v>
      </c>
      <c r="L102" s="46"/>
    </row>
    <row r="103" spans="1:12">
      <c r="A103" s="6"/>
      <c r="B103" s="27" t="s">
        <v>91</v>
      </c>
      <c r="C103" s="7" t="s">
        <v>11</v>
      </c>
      <c r="D103" s="68">
        <v>18</v>
      </c>
      <c r="E103" s="19"/>
      <c r="F103" s="19">
        <v>3.6</v>
      </c>
      <c r="G103" s="18">
        <v>0.3</v>
      </c>
      <c r="H103" s="18">
        <f t="shared" si="4"/>
        <v>0</v>
      </c>
      <c r="I103" s="18">
        <f t="shared" si="5"/>
        <v>64.8</v>
      </c>
      <c r="J103" s="23">
        <f t="shared" si="6"/>
        <v>5.3999999999999995</v>
      </c>
      <c r="K103" s="18">
        <f t="shared" si="7"/>
        <v>70.2</v>
      </c>
      <c r="L103" s="46"/>
    </row>
    <row r="104" spans="1:12">
      <c r="A104" s="6"/>
      <c r="B104" s="27" t="s">
        <v>535</v>
      </c>
      <c r="C104" s="29" t="s">
        <v>34</v>
      </c>
      <c r="D104" s="68">
        <v>55</v>
      </c>
      <c r="E104" s="19"/>
      <c r="F104" s="19">
        <v>0.34</v>
      </c>
      <c r="G104" s="18">
        <v>0.01</v>
      </c>
      <c r="H104" s="18">
        <f t="shared" si="4"/>
        <v>0</v>
      </c>
      <c r="I104" s="18">
        <f t="shared" si="5"/>
        <v>18.700000000000003</v>
      </c>
      <c r="J104" s="23">
        <f t="shared" si="6"/>
        <v>0.55000000000000004</v>
      </c>
      <c r="K104" s="18">
        <f t="shared" si="7"/>
        <v>19.250000000000004</v>
      </c>
      <c r="L104" s="46"/>
    </row>
    <row r="105" spans="1:12">
      <c r="A105" s="6"/>
      <c r="B105" s="15" t="s">
        <v>93</v>
      </c>
      <c r="C105" s="7" t="s">
        <v>47</v>
      </c>
      <c r="D105" s="68">
        <v>20</v>
      </c>
      <c r="E105" s="19"/>
      <c r="F105" s="19">
        <v>0.75</v>
      </c>
      <c r="G105" s="18">
        <v>0.15</v>
      </c>
      <c r="H105" s="18">
        <f t="shared" si="4"/>
        <v>0</v>
      </c>
      <c r="I105" s="18">
        <f t="shared" si="5"/>
        <v>15</v>
      </c>
      <c r="J105" s="23">
        <f t="shared" si="6"/>
        <v>3</v>
      </c>
      <c r="K105" s="18">
        <f t="shared" si="7"/>
        <v>18</v>
      </c>
      <c r="L105" s="46"/>
    </row>
    <row r="106" spans="1:12">
      <c r="A106" s="6"/>
      <c r="B106" s="15" t="s">
        <v>94</v>
      </c>
      <c r="C106" s="7" t="s">
        <v>47</v>
      </c>
      <c r="D106" s="68">
        <v>20</v>
      </c>
      <c r="E106" s="19"/>
      <c r="F106" s="19">
        <v>0.38</v>
      </c>
      <c r="G106" s="18">
        <v>0.15</v>
      </c>
      <c r="H106" s="18">
        <f t="shared" si="4"/>
        <v>0</v>
      </c>
      <c r="I106" s="18">
        <f t="shared" si="5"/>
        <v>7.6</v>
      </c>
      <c r="J106" s="23">
        <f t="shared" si="6"/>
        <v>3</v>
      </c>
      <c r="K106" s="18">
        <f t="shared" si="7"/>
        <v>10.6</v>
      </c>
      <c r="L106" s="46"/>
    </row>
    <row r="107" spans="1:12">
      <c r="A107" s="6"/>
      <c r="B107" s="27" t="s">
        <v>149</v>
      </c>
      <c r="C107" s="29" t="s">
        <v>11</v>
      </c>
      <c r="D107" s="68">
        <v>56</v>
      </c>
      <c r="E107" s="19"/>
      <c r="F107" s="19">
        <v>0.65</v>
      </c>
      <c r="G107" s="18">
        <v>0.01</v>
      </c>
      <c r="H107" s="18">
        <f t="shared" si="4"/>
        <v>0</v>
      </c>
      <c r="I107" s="18">
        <f t="shared" si="5"/>
        <v>36.4</v>
      </c>
      <c r="J107" s="23">
        <f t="shared" si="6"/>
        <v>0.56000000000000005</v>
      </c>
      <c r="K107" s="18">
        <f t="shared" si="7"/>
        <v>36.96</v>
      </c>
      <c r="L107" s="46"/>
    </row>
    <row r="108" spans="1:12">
      <c r="A108" s="6"/>
      <c r="B108" s="27" t="s">
        <v>92</v>
      </c>
      <c r="C108" s="29" t="s">
        <v>34</v>
      </c>
      <c r="D108" s="68">
        <v>55</v>
      </c>
      <c r="E108" s="19"/>
      <c r="F108" s="19">
        <v>0.03</v>
      </c>
      <c r="G108" s="18">
        <v>0.01</v>
      </c>
      <c r="H108" s="18">
        <f t="shared" si="4"/>
        <v>0</v>
      </c>
      <c r="I108" s="18">
        <f t="shared" si="5"/>
        <v>1.65</v>
      </c>
      <c r="J108" s="23">
        <f t="shared" si="6"/>
        <v>0.55000000000000004</v>
      </c>
      <c r="K108" s="18">
        <f t="shared" si="7"/>
        <v>2.2000000000000002</v>
      </c>
      <c r="L108" s="46"/>
    </row>
    <row r="109" spans="1:12">
      <c r="A109" s="6"/>
      <c r="B109" s="28" t="s">
        <v>543</v>
      </c>
      <c r="C109" s="29" t="s">
        <v>6</v>
      </c>
      <c r="D109" s="68">
        <v>102.5</v>
      </c>
      <c r="E109" s="19">
        <v>9.5</v>
      </c>
      <c r="F109" s="19">
        <v>13.5</v>
      </c>
      <c r="G109" s="19"/>
      <c r="H109" s="18">
        <f t="shared" si="4"/>
        <v>973.75</v>
      </c>
      <c r="I109" s="18">
        <f t="shared" si="5"/>
        <v>1383.75</v>
      </c>
      <c r="J109" s="23">
        <f t="shared" si="6"/>
        <v>0</v>
      </c>
      <c r="K109" s="18">
        <f t="shared" si="7"/>
        <v>2357.5</v>
      </c>
      <c r="L109" s="46"/>
    </row>
    <row r="110" spans="1:12">
      <c r="A110" s="6"/>
      <c r="B110" s="28" t="s">
        <v>183</v>
      </c>
      <c r="C110" s="7" t="s">
        <v>34</v>
      </c>
      <c r="D110" s="68">
        <v>8</v>
      </c>
      <c r="E110" s="19">
        <v>11</v>
      </c>
      <c r="F110" s="19">
        <v>3</v>
      </c>
      <c r="G110" s="19">
        <v>0.32</v>
      </c>
      <c r="H110" s="18">
        <f t="shared" si="4"/>
        <v>88</v>
      </c>
      <c r="I110" s="18">
        <f t="shared" si="5"/>
        <v>24</v>
      </c>
      <c r="J110" s="23">
        <f t="shared" si="6"/>
        <v>2.56</v>
      </c>
      <c r="K110" s="18">
        <f t="shared" si="7"/>
        <v>114.56</v>
      </c>
      <c r="L110" s="46"/>
    </row>
    <row r="111" spans="1:12">
      <c r="A111" s="6"/>
      <c r="B111" s="27" t="s">
        <v>63</v>
      </c>
      <c r="C111" s="7" t="s">
        <v>11</v>
      </c>
      <c r="D111" s="68">
        <v>300</v>
      </c>
      <c r="E111" s="19"/>
      <c r="F111" s="19">
        <v>0.21</v>
      </c>
      <c r="G111" s="18">
        <v>0.15</v>
      </c>
      <c r="H111" s="18">
        <f t="shared" si="4"/>
        <v>0</v>
      </c>
      <c r="I111" s="18">
        <f t="shared" si="5"/>
        <v>63</v>
      </c>
      <c r="J111" s="23">
        <f t="shared" si="6"/>
        <v>45</v>
      </c>
      <c r="K111" s="18">
        <f t="shared" si="7"/>
        <v>108</v>
      </c>
      <c r="L111" s="46"/>
    </row>
    <row r="112" spans="1:12">
      <c r="A112" s="6"/>
      <c r="B112" s="27" t="s">
        <v>64</v>
      </c>
      <c r="C112" s="7" t="s">
        <v>11</v>
      </c>
      <c r="D112" s="68">
        <v>150</v>
      </c>
      <c r="E112" s="19"/>
      <c r="F112" s="19">
        <v>0.32</v>
      </c>
      <c r="G112" s="18">
        <v>0.15</v>
      </c>
      <c r="H112" s="18">
        <f t="shared" si="4"/>
        <v>0</v>
      </c>
      <c r="I112" s="18">
        <f t="shared" si="5"/>
        <v>48</v>
      </c>
      <c r="J112" s="23">
        <f t="shared" si="6"/>
        <v>22.5</v>
      </c>
      <c r="K112" s="18">
        <f t="shared" si="7"/>
        <v>70.5</v>
      </c>
      <c r="L112" s="46"/>
    </row>
    <row r="113" spans="1:12">
      <c r="A113" s="6"/>
      <c r="B113" s="27" t="s">
        <v>65</v>
      </c>
      <c r="C113" s="7" t="s">
        <v>11</v>
      </c>
      <c r="D113" s="68">
        <v>1</v>
      </c>
      <c r="E113" s="19">
        <v>6</v>
      </c>
      <c r="F113" s="19">
        <v>6.8</v>
      </c>
      <c r="G113" s="18">
        <v>0.15</v>
      </c>
      <c r="H113" s="18">
        <f t="shared" si="4"/>
        <v>6</v>
      </c>
      <c r="I113" s="18">
        <f t="shared" si="5"/>
        <v>6.8</v>
      </c>
      <c r="J113" s="23">
        <f t="shared" si="6"/>
        <v>0.15</v>
      </c>
      <c r="K113" s="18">
        <f t="shared" si="7"/>
        <v>12.950000000000001</v>
      </c>
      <c r="L113" s="46"/>
    </row>
    <row r="114" spans="1:12">
      <c r="A114" s="6"/>
      <c r="B114" s="27" t="s">
        <v>187</v>
      </c>
      <c r="C114" s="7" t="s">
        <v>189</v>
      </c>
      <c r="D114" s="68">
        <v>14</v>
      </c>
      <c r="E114" s="19"/>
      <c r="F114" s="19">
        <v>4.58</v>
      </c>
      <c r="G114" s="18">
        <v>0.3</v>
      </c>
      <c r="H114" s="18">
        <f t="shared" si="4"/>
        <v>0</v>
      </c>
      <c r="I114" s="18">
        <f t="shared" si="5"/>
        <v>64.12</v>
      </c>
      <c r="J114" s="23">
        <f t="shared" si="6"/>
        <v>4.2</v>
      </c>
      <c r="K114" s="18">
        <f t="shared" si="7"/>
        <v>68.320000000000007</v>
      </c>
      <c r="L114" s="46"/>
    </row>
    <row r="115" spans="1:12">
      <c r="A115" s="6"/>
      <c r="B115" s="27" t="s">
        <v>188</v>
      </c>
      <c r="C115" s="7" t="s">
        <v>189</v>
      </c>
      <c r="D115" s="68">
        <v>8</v>
      </c>
      <c r="E115" s="19"/>
      <c r="F115" s="19">
        <v>46</v>
      </c>
      <c r="G115" s="18">
        <v>0.15</v>
      </c>
      <c r="H115" s="18">
        <f t="shared" si="4"/>
        <v>0</v>
      </c>
      <c r="I115" s="18">
        <f t="shared" si="5"/>
        <v>368</v>
      </c>
      <c r="J115" s="23">
        <f t="shared" si="6"/>
        <v>1.2</v>
      </c>
      <c r="K115" s="18">
        <f t="shared" si="7"/>
        <v>369.2</v>
      </c>
      <c r="L115" s="46"/>
    </row>
    <row r="116" spans="1:12">
      <c r="A116" s="6"/>
      <c r="B116" s="27" t="s">
        <v>190</v>
      </c>
      <c r="C116" s="7" t="s">
        <v>191</v>
      </c>
      <c r="D116" s="68">
        <v>16</v>
      </c>
      <c r="E116" s="19"/>
      <c r="F116" s="19">
        <v>4.4800000000000004</v>
      </c>
      <c r="G116" s="19">
        <v>0.03</v>
      </c>
      <c r="H116" s="18">
        <f t="shared" si="4"/>
        <v>0</v>
      </c>
      <c r="I116" s="18">
        <f t="shared" si="5"/>
        <v>71.680000000000007</v>
      </c>
      <c r="J116" s="23">
        <f t="shared" si="6"/>
        <v>0.48</v>
      </c>
      <c r="K116" s="18">
        <f t="shared" si="7"/>
        <v>72.160000000000011</v>
      </c>
      <c r="L116" s="46"/>
    </row>
    <row r="117" spans="1:12">
      <c r="A117" s="6"/>
      <c r="B117" s="28" t="s">
        <v>544</v>
      </c>
      <c r="C117" s="7" t="s">
        <v>545</v>
      </c>
      <c r="D117" s="68">
        <v>1</v>
      </c>
      <c r="E117" s="19">
        <v>322</v>
      </c>
      <c r="F117" s="19">
        <v>598</v>
      </c>
      <c r="G117" s="19"/>
      <c r="H117" s="18">
        <f t="shared" ref="H117:H133" si="8">D117*E117</f>
        <v>322</v>
      </c>
      <c r="I117" s="18">
        <f t="shared" ref="I117:I133" si="9">D117*F117</f>
        <v>598</v>
      </c>
      <c r="J117" s="23">
        <f t="shared" ref="J117:J133" si="10">D117*G117</f>
        <v>0</v>
      </c>
      <c r="K117" s="18">
        <f t="shared" ref="K117:K133" si="11">H117+I117+J117</f>
        <v>920</v>
      </c>
      <c r="L117" s="46"/>
    </row>
    <row r="118" spans="1:12">
      <c r="A118" s="6"/>
      <c r="B118" s="28" t="s">
        <v>451</v>
      </c>
      <c r="C118" s="7" t="s">
        <v>545</v>
      </c>
      <c r="D118" s="68">
        <v>1</v>
      </c>
      <c r="E118" s="19">
        <v>294</v>
      </c>
      <c r="F118" s="19">
        <v>546</v>
      </c>
      <c r="G118" s="19"/>
      <c r="H118" s="18">
        <f t="shared" si="8"/>
        <v>294</v>
      </c>
      <c r="I118" s="18">
        <f t="shared" si="9"/>
        <v>546</v>
      </c>
      <c r="J118" s="23">
        <f t="shared" si="10"/>
        <v>0</v>
      </c>
      <c r="K118" s="18">
        <f t="shared" si="11"/>
        <v>840</v>
      </c>
    </row>
    <row r="119" spans="1:12">
      <c r="A119" s="6"/>
      <c r="B119" s="28" t="s">
        <v>184</v>
      </c>
      <c r="C119" s="7" t="s">
        <v>11</v>
      </c>
      <c r="D119" s="68">
        <v>1</v>
      </c>
      <c r="E119" s="69">
        <v>368</v>
      </c>
      <c r="F119" s="19"/>
      <c r="G119" s="19"/>
      <c r="H119" s="18">
        <f>D119*E119</f>
        <v>368</v>
      </c>
      <c r="I119" s="18">
        <f>D119*F119</f>
        <v>0</v>
      </c>
      <c r="J119" s="23">
        <f>D119*G119</f>
        <v>0</v>
      </c>
      <c r="K119" s="18">
        <f>H119+I119+J119</f>
        <v>368</v>
      </c>
      <c r="L119" s="46"/>
    </row>
    <row r="120" spans="1:12">
      <c r="A120" s="6"/>
      <c r="B120" s="27" t="s">
        <v>64</v>
      </c>
      <c r="C120" s="7" t="s">
        <v>11</v>
      </c>
      <c r="D120" s="68">
        <v>350</v>
      </c>
      <c r="E120" s="19"/>
      <c r="F120" s="19">
        <v>0.34</v>
      </c>
      <c r="G120" s="19">
        <v>0.08</v>
      </c>
      <c r="H120" s="18">
        <f>D120*E120</f>
        <v>0</v>
      </c>
      <c r="I120" s="18">
        <f>D120*F120</f>
        <v>119.00000000000001</v>
      </c>
      <c r="J120" s="23">
        <f>D120*G120</f>
        <v>28</v>
      </c>
      <c r="K120" s="18">
        <f>H120+I120+J120</f>
        <v>147</v>
      </c>
      <c r="L120" s="46"/>
    </row>
    <row r="121" spans="1:12">
      <c r="A121" s="6"/>
      <c r="B121" s="27" t="s">
        <v>186</v>
      </c>
      <c r="C121" s="7" t="s">
        <v>11</v>
      </c>
      <c r="D121" s="68">
        <v>160</v>
      </c>
      <c r="E121" s="19"/>
      <c r="F121" s="19">
        <v>0.13</v>
      </c>
      <c r="G121" s="19">
        <v>0.08</v>
      </c>
      <c r="H121" s="18">
        <f>D121*E121</f>
        <v>0</v>
      </c>
      <c r="I121" s="18">
        <f>D121*F121</f>
        <v>20.8</v>
      </c>
      <c r="J121" s="23">
        <f>D121*G121</f>
        <v>12.8</v>
      </c>
      <c r="K121" s="18">
        <f>H121+I121+J121</f>
        <v>33.6</v>
      </c>
      <c r="L121" s="46"/>
    </row>
    <row r="122" spans="1:12">
      <c r="A122" s="6"/>
      <c r="B122" s="27" t="s">
        <v>187</v>
      </c>
      <c r="C122" s="7" t="s">
        <v>189</v>
      </c>
      <c r="D122" s="68">
        <v>6</v>
      </c>
      <c r="E122" s="19"/>
      <c r="F122" s="19">
        <v>4.58</v>
      </c>
      <c r="G122" s="18">
        <v>0.3</v>
      </c>
      <c r="H122" s="18">
        <f t="shared" si="8"/>
        <v>0</v>
      </c>
      <c r="I122" s="18">
        <f t="shared" si="9"/>
        <v>27.48</v>
      </c>
      <c r="J122" s="23">
        <f t="shared" si="10"/>
        <v>1.7999999999999998</v>
      </c>
      <c r="K122" s="18">
        <f t="shared" si="11"/>
        <v>29.28</v>
      </c>
      <c r="L122" s="46"/>
    </row>
    <row r="123" spans="1:12">
      <c r="A123" s="6"/>
      <c r="B123" s="27" t="s">
        <v>188</v>
      </c>
      <c r="C123" s="7" t="s">
        <v>189</v>
      </c>
      <c r="D123" s="68">
        <v>3</v>
      </c>
      <c r="E123" s="19"/>
      <c r="F123" s="19">
        <v>46</v>
      </c>
      <c r="G123" s="18">
        <v>0.15</v>
      </c>
      <c r="H123" s="18">
        <f t="shared" si="8"/>
        <v>0</v>
      </c>
      <c r="I123" s="18">
        <f t="shared" si="9"/>
        <v>138</v>
      </c>
      <c r="J123" s="23">
        <f t="shared" si="10"/>
        <v>0.44999999999999996</v>
      </c>
      <c r="K123" s="18">
        <f t="shared" si="11"/>
        <v>138.44999999999999</v>
      </c>
      <c r="L123" s="46"/>
    </row>
    <row r="124" spans="1:12">
      <c r="A124" s="6"/>
      <c r="B124" s="28" t="s">
        <v>213</v>
      </c>
      <c r="C124" s="7" t="s">
        <v>11</v>
      </c>
      <c r="D124" s="68"/>
      <c r="E124" s="19"/>
      <c r="F124" s="19"/>
      <c r="G124" s="19"/>
      <c r="H124" s="18">
        <f t="shared" si="8"/>
        <v>0</v>
      </c>
      <c r="I124" s="18">
        <f t="shared" si="9"/>
        <v>0</v>
      </c>
      <c r="J124" s="23">
        <f t="shared" si="10"/>
        <v>0</v>
      </c>
      <c r="K124" s="18">
        <f t="shared" si="11"/>
        <v>0</v>
      </c>
      <c r="L124" s="46"/>
    </row>
    <row r="125" spans="1:12">
      <c r="A125" s="6"/>
      <c r="B125" s="27" t="s">
        <v>186</v>
      </c>
      <c r="C125" s="7" t="s">
        <v>11</v>
      </c>
      <c r="D125" s="68"/>
      <c r="E125" s="19"/>
      <c r="F125" s="19"/>
      <c r="G125" s="19"/>
      <c r="H125" s="18">
        <f t="shared" si="8"/>
        <v>0</v>
      </c>
      <c r="I125" s="18">
        <f t="shared" si="9"/>
        <v>0</v>
      </c>
      <c r="J125" s="23">
        <f t="shared" si="10"/>
        <v>0</v>
      </c>
      <c r="K125" s="18">
        <f t="shared" si="11"/>
        <v>0</v>
      </c>
    </row>
    <row r="126" spans="1:12">
      <c r="A126" s="6"/>
      <c r="B126" s="27" t="s">
        <v>208</v>
      </c>
      <c r="C126" s="7" t="s">
        <v>11</v>
      </c>
      <c r="D126" s="68"/>
      <c r="E126" s="19"/>
      <c r="F126" s="19"/>
      <c r="G126" s="19"/>
      <c r="H126" s="18">
        <f t="shared" si="8"/>
        <v>0</v>
      </c>
      <c r="I126" s="18">
        <f t="shared" si="9"/>
        <v>0</v>
      </c>
      <c r="J126" s="23">
        <f t="shared" si="10"/>
        <v>0</v>
      </c>
      <c r="K126" s="18">
        <f t="shared" si="11"/>
        <v>0</v>
      </c>
    </row>
    <row r="127" spans="1:12">
      <c r="A127" s="6"/>
      <c r="B127" s="28" t="s">
        <v>111</v>
      </c>
      <c r="C127" s="29" t="s">
        <v>6</v>
      </c>
      <c r="D127" s="68"/>
      <c r="E127" s="19">
        <v>0.7</v>
      </c>
      <c r="F127" s="19"/>
      <c r="G127" s="19"/>
      <c r="H127" s="18">
        <f t="shared" si="8"/>
        <v>0</v>
      </c>
      <c r="I127" s="18">
        <f t="shared" si="9"/>
        <v>0</v>
      </c>
      <c r="J127" s="23">
        <f t="shared" si="10"/>
        <v>0</v>
      </c>
      <c r="K127" s="18">
        <f t="shared" si="11"/>
        <v>0</v>
      </c>
    </row>
    <row r="128" spans="1:12">
      <c r="A128" s="6"/>
      <c r="B128" s="27" t="s">
        <v>112</v>
      </c>
      <c r="C128" s="29" t="s">
        <v>6</v>
      </c>
      <c r="D128" s="68"/>
      <c r="E128" s="19"/>
      <c r="F128" s="19"/>
      <c r="G128" s="19"/>
      <c r="H128" s="18">
        <f t="shared" si="8"/>
        <v>0</v>
      </c>
      <c r="I128" s="18">
        <f t="shared" si="9"/>
        <v>0</v>
      </c>
      <c r="J128" s="23">
        <f t="shared" si="10"/>
        <v>0</v>
      </c>
      <c r="K128" s="18">
        <f t="shared" si="11"/>
        <v>0</v>
      </c>
    </row>
    <row r="129" spans="1:11">
      <c r="A129" s="6"/>
      <c r="B129" s="28" t="s">
        <v>115</v>
      </c>
      <c r="C129" s="29" t="s">
        <v>6</v>
      </c>
      <c r="D129" s="68"/>
      <c r="E129" s="19"/>
      <c r="F129" s="19"/>
      <c r="G129" s="19"/>
      <c r="H129" s="18">
        <f t="shared" si="8"/>
        <v>0</v>
      </c>
      <c r="I129" s="18">
        <f t="shared" si="9"/>
        <v>0</v>
      </c>
      <c r="J129" s="23">
        <f t="shared" si="10"/>
        <v>0</v>
      </c>
      <c r="K129" s="18">
        <f t="shared" si="11"/>
        <v>0</v>
      </c>
    </row>
    <row r="130" spans="1:11">
      <c r="A130" s="6"/>
      <c r="B130" s="28" t="s">
        <v>126</v>
      </c>
      <c r="C130" s="7" t="s">
        <v>114</v>
      </c>
      <c r="D130" s="68"/>
      <c r="E130" s="19">
        <v>0.65</v>
      </c>
      <c r="F130" s="19"/>
      <c r="G130" s="19">
        <v>0.05</v>
      </c>
      <c r="H130" s="18">
        <f t="shared" si="8"/>
        <v>0</v>
      </c>
      <c r="I130" s="18">
        <f t="shared" si="9"/>
        <v>0</v>
      </c>
      <c r="J130" s="23">
        <f t="shared" si="10"/>
        <v>0</v>
      </c>
      <c r="K130" s="18">
        <f t="shared" si="11"/>
        <v>0</v>
      </c>
    </row>
    <row r="131" spans="1:11">
      <c r="A131" s="6"/>
      <c r="B131" s="27" t="s">
        <v>127</v>
      </c>
      <c r="C131" s="7" t="s">
        <v>114</v>
      </c>
      <c r="D131" s="68"/>
      <c r="E131" s="19"/>
      <c r="F131" s="19">
        <v>1.38</v>
      </c>
      <c r="G131" s="19"/>
      <c r="H131" s="18">
        <f t="shared" si="8"/>
        <v>0</v>
      </c>
      <c r="I131" s="18">
        <f t="shared" si="9"/>
        <v>0</v>
      </c>
      <c r="J131" s="23">
        <f t="shared" si="10"/>
        <v>0</v>
      </c>
      <c r="K131" s="18">
        <f t="shared" si="11"/>
        <v>0</v>
      </c>
    </row>
    <row r="132" spans="1:11">
      <c r="A132" s="6"/>
      <c r="B132" s="27" t="s">
        <v>128</v>
      </c>
      <c r="C132" s="7" t="s">
        <v>83</v>
      </c>
      <c r="D132" s="68"/>
      <c r="E132" s="19"/>
      <c r="F132" s="19">
        <v>0.36</v>
      </c>
      <c r="G132" s="19"/>
      <c r="H132" s="18">
        <f t="shared" si="8"/>
        <v>0</v>
      </c>
      <c r="I132" s="18">
        <f t="shared" si="9"/>
        <v>0</v>
      </c>
      <c r="J132" s="23">
        <f t="shared" si="10"/>
        <v>0</v>
      </c>
      <c r="K132" s="18">
        <f t="shared" si="11"/>
        <v>0</v>
      </c>
    </row>
    <row r="133" spans="1:11" ht="13" thickBot="1">
      <c r="A133" s="6"/>
      <c r="B133" s="28" t="s">
        <v>162</v>
      </c>
      <c r="C133" s="7" t="s">
        <v>163</v>
      </c>
      <c r="D133" s="69"/>
      <c r="E133" s="19"/>
      <c r="F133" s="19">
        <v>22.85</v>
      </c>
      <c r="G133" s="19"/>
      <c r="H133" s="18">
        <f t="shared" si="8"/>
        <v>0</v>
      </c>
      <c r="I133" s="18">
        <f t="shared" si="9"/>
        <v>0</v>
      </c>
      <c r="J133" s="23">
        <f t="shared" si="10"/>
        <v>0</v>
      </c>
      <c r="K133" s="18">
        <f t="shared" si="11"/>
        <v>0</v>
      </c>
    </row>
    <row r="134" spans="1:11" ht="13" thickBot="1">
      <c r="A134" s="52"/>
      <c r="B134" s="86" t="s">
        <v>203</v>
      </c>
      <c r="C134" s="87" t="s">
        <v>1</v>
      </c>
      <c r="D134" s="71"/>
      <c r="E134" s="59"/>
      <c r="F134" s="59"/>
      <c r="G134" s="59"/>
      <c r="H134" s="59">
        <f>SUM(H6:H133)</f>
        <v>5540.8520000000008</v>
      </c>
      <c r="I134" s="59">
        <f>SUM(I6:I133)</f>
        <v>11388.598</v>
      </c>
      <c r="J134" s="60">
        <f>SUM(J6:J133)</f>
        <v>1278.9370000000001</v>
      </c>
      <c r="K134" s="61">
        <f>SUM(K6:K133)</f>
        <v>18208.387000000002</v>
      </c>
    </row>
    <row r="135" spans="1:11">
      <c r="A135" s="53"/>
      <c r="B135" s="88" t="s">
        <v>204</v>
      </c>
      <c r="C135" s="89"/>
      <c r="D135" s="97">
        <v>0.04</v>
      </c>
      <c r="E135" s="62"/>
      <c r="F135" s="62"/>
      <c r="G135" s="62"/>
      <c r="H135" s="62"/>
      <c r="I135" s="62"/>
      <c r="J135" s="63"/>
      <c r="K135" s="64">
        <f>K134*0.04</f>
        <v>728.33548000000008</v>
      </c>
    </row>
    <row r="136" spans="1:11">
      <c r="A136" s="53"/>
      <c r="B136" s="90"/>
      <c r="C136" s="91"/>
      <c r="D136" s="98"/>
      <c r="E136" s="24"/>
      <c r="F136" s="24"/>
      <c r="G136" s="24"/>
      <c r="H136" s="24"/>
      <c r="I136" s="24"/>
      <c r="J136" s="50"/>
      <c r="K136" s="51">
        <f>K134*0</f>
        <v>0</v>
      </c>
    </row>
    <row r="137" spans="1:11" ht="13" thickBot="1">
      <c r="A137" s="54"/>
      <c r="B137" s="92"/>
      <c r="C137" s="93"/>
      <c r="D137" s="74"/>
      <c r="E137" s="55"/>
      <c r="F137" s="55"/>
      <c r="G137" s="55"/>
      <c r="H137" s="55"/>
      <c r="I137" s="55"/>
      <c r="J137" s="56"/>
      <c r="K137" s="57"/>
    </row>
    <row r="138" spans="1:11" ht="13" thickBot="1">
      <c r="A138" s="58"/>
      <c r="B138" s="86" t="s">
        <v>205</v>
      </c>
      <c r="C138" s="87"/>
      <c r="D138" s="71"/>
      <c r="E138" s="59"/>
      <c r="F138" s="59"/>
      <c r="G138" s="59"/>
      <c r="H138" s="59"/>
      <c r="I138" s="59"/>
      <c r="J138" s="60"/>
      <c r="K138" s="61">
        <f>K134+K135+K136</f>
        <v>18936.722480000004</v>
      </c>
    </row>
    <row r="139" spans="1:11">
      <c r="A139" s="8"/>
      <c r="B139" s="9"/>
      <c r="C139" s="8"/>
      <c r="D139" s="75"/>
      <c r="E139" s="21"/>
      <c r="F139" s="21"/>
      <c r="G139" s="21"/>
      <c r="H139" s="21"/>
      <c r="I139" s="21"/>
      <c r="J139" s="21"/>
    </row>
    <row r="140" spans="1:11" ht="15">
      <c r="A140" s="8"/>
      <c r="B140" s="80" t="s">
        <v>180</v>
      </c>
      <c r="C140" s="35"/>
      <c r="D140" s="81"/>
      <c r="E140" s="82"/>
      <c r="F140" s="83" t="s">
        <v>181</v>
      </c>
      <c r="G140" s="25"/>
      <c r="H140" s="25"/>
      <c r="I140" s="25"/>
      <c r="J140" s="21"/>
      <c r="K140" s="21"/>
    </row>
    <row r="141" spans="1:11" ht="15">
      <c r="A141" s="8"/>
      <c r="B141" s="80"/>
      <c r="C141" s="35"/>
      <c r="D141" s="81"/>
      <c r="E141" s="82"/>
      <c r="F141" s="83"/>
      <c r="G141" s="25"/>
      <c r="H141" s="25"/>
      <c r="I141" s="25"/>
      <c r="J141" s="21"/>
      <c r="K141" s="21"/>
    </row>
    <row r="142" spans="1:11" ht="15">
      <c r="A142" s="8"/>
      <c r="B142" s="80"/>
      <c r="C142" s="35"/>
      <c r="D142" s="81"/>
      <c r="E142" s="82"/>
      <c r="F142" s="83"/>
      <c r="G142" s="25"/>
      <c r="H142" s="25"/>
      <c r="I142" s="25"/>
      <c r="J142" s="21"/>
      <c r="K142" s="21"/>
    </row>
    <row r="143" spans="1:11" ht="15">
      <c r="A143" s="8"/>
      <c r="B143" s="80"/>
      <c r="C143" s="35"/>
      <c r="D143" s="81"/>
      <c r="E143" s="82"/>
      <c r="F143" s="83"/>
      <c r="G143" s="25"/>
      <c r="H143" s="25"/>
      <c r="I143" s="25"/>
      <c r="J143" s="21"/>
      <c r="K143" s="21"/>
    </row>
    <row r="144" spans="1:11" ht="15">
      <c r="A144" s="8"/>
      <c r="B144" s="80"/>
      <c r="C144" s="35"/>
      <c r="D144" s="81"/>
      <c r="E144" s="82"/>
      <c r="F144" s="83"/>
      <c r="G144" s="25"/>
      <c r="H144" s="25"/>
      <c r="I144" s="25"/>
      <c r="J144" s="21"/>
      <c r="K144" s="21"/>
    </row>
    <row r="145" spans="1:11" ht="15">
      <c r="A145" s="8"/>
      <c r="B145" s="80"/>
      <c r="C145" s="35"/>
      <c r="D145" s="81"/>
      <c r="E145" s="82"/>
      <c r="F145" s="83"/>
      <c r="G145" s="25"/>
      <c r="H145" s="25"/>
      <c r="I145" s="25"/>
      <c r="J145" s="21"/>
      <c r="K145" s="21"/>
    </row>
    <row r="146" spans="1:11" ht="15">
      <c r="A146" s="8"/>
      <c r="B146" s="80"/>
      <c r="C146" s="35"/>
      <c r="D146" s="81"/>
      <c r="E146" s="82"/>
      <c r="F146" s="83"/>
      <c r="G146" s="25"/>
      <c r="H146" s="25"/>
      <c r="I146" s="25"/>
      <c r="J146" s="21"/>
      <c r="K146" s="21"/>
    </row>
    <row r="147" spans="1:11" ht="15">
      <c r="A147" s="8"/>
      <c r="B147" s="80"/>
      <c r="C147" s="35"/>
      <c r="D147" s="81"/>
      <c r="E147" s="82"/>
      <c r="F147" s="83"/>
      <c r="G147" s="25"/>
      <c r="H147" s="25"/>
      <c r="I147" s="25"/>
      <c r="J147" s="21"/>
      <c r="K147" s="21"/>
    </row>
    <row r="148" spans="1:11" ht="15">
      <c r="A148" s="8"/>
      <c r="B148" s="80"/>
      <c r="C148" s="35"/>
      <c r="D148" s="81"/>
      <c r="E148" s="82"/>
      <c r="F148" s="83"/>
      <c r="G148" s="25"/>
      <c r="H148" s="25"/>
      <c r="I148" s="25"/>
      <c r="J148" s="21"/>
      <c r="K148" s="21"/>
    </row>
    <row r="149" spans="1:11" ht="15">
      <c r="A149" s="8"/>
      <c r="B149" s="80"/>
      <c r="C149" s="35"/>
      <c r="D149" s="81"/>
      <c r="E149" s="82"/>
      <c r="F149" s="83"/>
      <c r="G149" s="25"/>
      <c r="H149" s="25"/>
      <c r="I149" s="25"/>
      <c r="J149" s="21"/>
      <c r="K149" s="21"/>
    </row>
    <row r="150" spans="1:11" ht="15">
      <c r="A150" s="8"/>
      <c r="B150" s="80"/>
      <c r="C150" s="35"/>
      <c r="D150" s="81"/>
      <c r="E150" s="82"/>
      <c r="F150" s="83"/>
      <c r="G150" s="25"/>
      <c r="H150" s="25"/>
      <c r="I150" s="25"/>
      <c r="J150" s="21"/>
      <c r="K150" s="21"/>
    </row>
    <row r="151" spans="1:11" ht="15">
      <c r="A151" s="8"/>
      <c r="B151" s="80"/>
      <c r="C151" s="35"/>
      <c r="D151" s="81"/>
      <c r="E151" s="82"/>
      <c r="F151" s="83"/>
      <c r="G151" s="25"/>
      <c r="H151" s="25"/>
      <c r="I151" s="25"/>
      <c r="J151" s="21"/>
      <c r="K151" s="21"/>
    </row>
    <row r="152" spans="1:11" ht="15">
      <c r="A152" s="8"/>
      <c r="B152" s="80"/>
      <c r="C152" s="35"/>
      <c r="D152" s="81"/>
      <c r="E152" s="82"/>
      <c r="F152" s="83"/>
      <c r="G152" s="25"/>
      <c r="H152" s="25"/>
      <c r="I152" s="25"/>
      <c r="J152" s="21"/>
      <c r="K152" s="21"/>
    </row>
    <row r="153" spans="1:11" ht="15">
      <c r="A153" s="8"/>
      <c r="B153" s="80"/>
      <c r="C153" s="35"/>
      <c r="D153" s="81"/>
      <c r="E153" s="82"/>
      <c r="F153" s="83"/>
      <c r="G153" s="25"/>
      <c r="H153" s="25"/>
      <c r="I153" s="25"/>
      <c r="J153" s="21"/>
      <c r="K153" s="21"/>
    </row>
    <row r="154" spans="1:11" ht="15">
      <c r="A154" s="8"/>
      <c r="B154" s="80"/>
      <c r="C154" s="35"/>
      <c r="D154" s="81"/>
      <c r="E154" s="82"/>
      <c r="F154" s="83"/>
      <c r="G154" s="25"/>
      <c r="H154" s="25"/>
      <c r="I154" s="25"/>
      <c r="J154" s="21"/>
      <c r="K154" s="21"/>
    </row>
    <row r="155" spans="1:11" ht="15">
      <c r="A155" s="8"/>
      <c r="B155" s="80"/>
      <c r="C155" s="35"/>
      <c r="D155" s="81"/>
      <c r="E155" s="82"/>
      <c r="F155" s="83"/>
      <c r="G155" s="25"/>
      <c r="H155" s="25"/>
      <c r="I155" s="25"/>
      <c r="J155" s="21"/>
      <c r="K155" s="21"/>
    </row>
    <row r="156" spans="1:11" ht="15">
      <c r="A156" s="8"/>
      <c r="B156" s="80"/>
      <c r="C156" s="35"/>
      <c r="D156" s="81"/>
      <c r="E156" s="82"/>
      <c r="F156" s="83"/>
      <c r="G156" s="25"/>
      <c r="H156" s="25"/>
      <c r="I156" s="25"/>
      <c r="J156" s="21"/>
      <c r="K156" s="21"/>
    </row>
    <row r="157" spans="1:11" ht="15">
      <c r="A157" s="8"/>
      <c r="B157" s="80"/>
      <c r="C157" s="35"/>
      <c r="D157" s="81"/>
      <c r="E157" s="82"/>
      <c r="F157" s="83"/>
      <c r="G157" s="25"/>
      <c r="H157" s="25"/>
      <c r="I157" s="25"/>
      <c r="J157" s="21"/>
      <c r="K157" s="21"/>
    </row>
    <row r="158" spans="1:11">
      <c r="A158" s="1"/>
      <c r="B158" s="2" t="s">
        <v>520</v>
      </c>
      <c r="C158" s="3"/>
      <c r="D158" s="65"/>
      <c r="E158" s="17"/>
      <c r="F158" s="17"/>
      <c r="G158" s="17"/>
      <c r="H158" s="17"/>
      <c r="I158" s="17"/>
      <c r="J158" s="17"/>
      <c r="K158" s="17"/>
    </row>
    <row r="159" spans="1:11">
      <c r="A159" s="1"/>
      <c r="B159" s="2"/>
      <c r="C159" s="3"/>
      <c r="D159" s="65"/>
      <c r="E159" s="17"/>
      <c r="F159" s="17"/>
      <c r="G159" s="17"/>
      <c r="H159" s="17"/>
      <c r="I159" s="17"/>
      <c r="J159" s="17"/>
      <c r="K159" s="17"/>
    </row>
    <row r="160" spans="1:11">
      <c r="A160" s="4"/>
      <c r="B160" s="5" t="s">
        <v>548</v>
      </c>
      <c r="C160" s="3"/>
      <c r="D160" s="65"/>
      <c r="E160" s="17"/>
      <c r="F160" s="17"/>
      <c r="G160" s="17"/>
      <c r="H160" s="17"/>
      <c r="I160" s="17"/>
      <c r="J160" s="17"/>
      <c r="K160" s="17"/>
    </row>
    <row r="161" spans="1:11">
      <c r="A161" s="3"/>
      <c r="B161" s="10"/>
      <c r="C161" s="3"/>
      <c r="D161" s="65"/>
      <c r="E161" s="17"/>
      <c r="F161" s="17"/>
      <c r="G161" s="17"/>
      <c r="H161" s="17"/>
      <c r="I161" s="17"/>
      <c r="J161" s="17"/>
      <c r="K161" s="17"/>
    </row>
    <row r="162" spans="1:11">
      <c r="A162" s="3"/>
      <c r="B162" s="79"/>
      <c r="C162" s="3"/>
      <c r="D162" s="65"/>
      <c r="E162" s="21"/>
      <c r="F162" s="21" t="s">
        <v>211</v>
      </c>
      <c r="G162" s="21"/>
      <c r="H162" s="17"/>
      <c r="I162" s="17"/>
      <c r="J162" s="20" t="s">
        <v>4</v>
      </c>
      <c r="K162" s="21">
        <f>K185</f>
        <v>10396.049999999999</v>
      </c>
    </row>
    <row r="163" spans="1:11" ht="13" thickBot="1">
      <c r="A163" s="8"/>
      <c r="B163" s="9"/>
      <c r="C163" s="3"/>
      <c r="D163" s="65"/>
      <c r="E163" s="17"/>
      <c r="F163" s="34"/>
      <c r="G163" s="34"/>
      <c r="H163" s="34"/>
      <c r="I163" s="34"/>
      <c r="J163" s="34"/>
      <c r="K163" s="17"/>
    </row>
    <row r="164" spans="1:11">
      <c r="A164" s="30" t="s">
        <v>0</v>
      </c>
      <c r="B164" s="32" t="s">
        <v>68</v>
      </c>
      <c r="C164" s="30" t="s">
        <v>69</v>
      </c>
      <c r="D164" s="66" t="s">
        <v>71</v>
      </c>
      <c r="E164" s="39"/>
      <c r="F164" s="40" t="s">
        <v>74</v>
      </c>
      <c r="G164" s="41"/>
      <c r="H164" s="39"/>
      <c r="I164" s="40" t="s">
        <v>77</v>
      </c>
      <c r="J164" s="41"/>
      <c r="K164" s="41" t="s">
        <v>73</v>
      </c>
    </row>
    <row r="165" spans="1:11" ht="13" thickBot="1">
      <c r="A165" s="31" t="s">
        <v>67</v>
      </c>
      <c r="B165" s="33"/>
      <c r="C165" s="31" t="s">
        <v>70</v>
      </c>
      <c r="D165" s="67" t="s">
        <v>72</v>
      </c>
      <c r="E165" s="43" t="s">
        <v>75</v>
      </c>
      <c r="F165" s="44" t="s">
        <v>76</v>
      </c>
      <c r="G165" s="45" t="s">
        <v>178</v>
      </c>
      <c r="H165" s="43" t="s">
        <v>75</v>
      </c>
      <c r="I165" s="44" t="s">
        <v>76</v>
      </c>
      <c r="J165" s="45" t="s">
        <v>178</v>
      </c>
      <c r="K165" s="42" t="s">
        <v>1</v>
      </c>
    </row>
    <row r="166" spans="1:11">
      <c r="A166" s="6"/>
      <c r="B166" s="11"/>
      <c r="C166" s="6"/>
      <c r="D166" s="84"/>
      <c r="E166" s="85"/>
      <c r="F166" s="85"/>
      <c r="G166" s="85"/>
      <c r="H166" s="85"/>
      <c r="I166" s="85"/>
      <c r="J166" s="85"/>
      <c r="K166" s="85"/>
    </row>
    <row r="167" spans="1:11">
      <c r="A167" s="6">
        <v>278</v>
      </c>
      <c r="B167" s="36" t="s">
        <v>150</v>
      </c>
      <c r="C167" s="7"/>
      <c r="D167" s="68"/>
      <c r="E167" s="19"/>
      <c r="F167" s="69"/>
      <c r="G167" s="19"/>
      <c r="H167" s="18"/>
      <c r="I167" s="18"/>
      <c r="J167" s="23"/>
      <c r="K167" s="18"/>
    </row>
    <row r="168" spans="1:11">
      <c r="A168" s="6">
        <v>279</v>
      </c>
      <c r="B168" s="36"/>
      <c r="C168" s="7"/>
      <c r="D168" s="68">
        <v>1</v>
      </c>
      <c r="E168" s="19"/>
      <c r="F168" s="69">
        <v>1600</v>
      </c>
      <c r="G168" s="19"/>
      <c r="H168" s="18"/>
      <c r="I168" s="18">
        <f>D168*F168</f>
        <v>1600</v>
      </c>
      <c r="J168" s="23"/>
      <c r="K168" s="18">
        <f>H168+I168+J168</f>
        <v>1600</v>
      </c>
    </row>
    <row r="169" spans="1:11">
      <c r="A169" s="6">
        <v>280</v>
      </c>
      <c r="B169" s="36" t="s">
        <v>151</v>
      </c>
      <c r="C169" s="7"/>
      <c r="D169" s="68"/>
      <c r="E169" s="19"/>
      <c r="F169" s="69"/>
      <c r="G169" s="19"/>
      <c r="H169" s="18"/>
      <c r="I169" s="18"/>
      <c r="J169" s="23"/>
      <c r="K169" s="18"/>
    </row>
    <row r="170" spans="1:11">
      <c r="A170" s="6">
        <v>281</v>
      </c>
      <c r="B170" s="28" t="s">
        <v>153</v>
      </c>
      <c r="C170" s="7" t="s">
        <v>13</v>
      </c>
      <c r="D170" s="68">
        <v>1</v>
      </c>
      <c r="E170" s="19"/>
      <c r="F170" s="69">
        <v>2440</v>
      </c>
      <c r="G170" s="19"/>
      <c r="H170" s="18"/>
      <c r="I170" s="18">
        <f>D170*F170</f>
        <v>2440</v>
      </c>
      <c r="J170" s="23"/>
      <c r="K170" s="18">
        <f>H170+I170+J170</f>
        <v>2440</v>
      </c>
    </row>
    <row r="171" spans="1:11">
      <c r="A171" s="6">
        <v>282</v>
      </c>
      <c r="B171" s="28"/>
      <c r="C171" s="7"/>
      <c r="D171" s="68"/>
      <c r="E171" s="19"/>
      <c r="F171" s="69"/>
      <c r="G171" s="19"/>
      <c r="H171" s="18"/>
      <c r="I171" s="18">
        <f>D171*F171</f>
        <v>0</v>
      </c>
      <c r="J171" s="23"/>
      <c r="K171" s="18">
        <f>H171+I171+J171</f>
        <v>0</v>
      </c>
    </row>
    <row r="172" spans="1:11">
      <c r="A172" s="6">
        <v>283</v>
      </c>
      <c r="B172" s="36" t="s">
        <v>82</v>
      </c>
      <c r="C172" s="7"/>
      <c r="D172" s="69"/>
      <c r="E172" s="19"/>
      <c r="F172" s="69"/>
      <c r="G172" s="19"/>
      <c r="H172" s="18"/>
      <c r="I172" s="18"/>
      <c r="J172" s="23"/>
      <c r="K172" s="18"/>
    </row>
    <row r="173" spans="1:11">
      <c r="A173" s="6">
        <v>284</v>
      </c>
      <c r="B173" s="36"/>
      <c r="C173" s="7"/>
      <c r="D173" s="69">
        <v>1</v>
      </c>
      <c r="E173" s="19"/>
      <c r="F173" s="69">
        <v>3400</v>
      </c>
      <c r="G173" s="19"/>
      <c r="H173" s="18"/>
      <c r="I173" s="18">
        <f t="shared" ref="I173:I178" si="12">D173*F173</f>
        <v>3400</v>
      </c>
      <c r="J173" s="23"/>
      <c r="K173" s="18">
        <f t="shared" ref="K173:K178" si="13">H173+I173+J173</f>
        <v>3400</v>
      </c>
    </row>
    <row r="174" spans="1:11">
      <c r="A174" s="6"/>
      <c r="B174" s="36" t="s">
        <v>214</v>
      </c>
      <c r="C174" s="7"/>
      <c r="D174" s="69"/>
      <c r="E174" s="19"/>
      <c r="F174" s="69"/>
      <c r="G174" s="19"/>
      <c r="H174" s="18"/>
      <c r="I174" s="18">
        <f t="shared" si="12"/>
        <v>0</v>
      </c>
      <c r="J174" s="23"/>
      <c r="K174" s="18">
        <f t="shared" si="13"/>
        <v>0</v>
      </c>
    </row>
    <row r="175" spans="1:11">
      <c r="A175" s="6"/>
      <c r="B175" s="27" t="s">
        <v>216</v>
      </c>
      <c r="C175" s="7" t="s">
        <v>215</v>
      </c>
      <c r="D175" s="69">
        <v>50</v>
      </c>
      <c r="E175" s="19"/>
      <c r="F175" s="69">
        <v>21.5</v>
      </c>
      <c r="G175" s="19"/>
      <c r="H175" s="18"/>
      <c r="I175" s="18">
        <f t="shared" si="12"/>
        <v>1075</v>
      </c>
      <c r="J175" s="23"/>
      <c r="K175" s="18">
        <f t="shared" si="13"/>
        <v>1075</v>
      </c>
    </row>
    <row r="176" spans="1:11">
      <c r="A176" s="6"/>
      <c r="B176" s="36"/>
      <c r="C176" s="7"/>
      <c r="D176" s="69"/>
      <c r="E176" s="19"/>
      <c r="F176" s="69"/>
      <c r="G176" s="19"/>
      <c r="H176" s="18"/>
      <c r="I176" s="18">
        <f t="shared" si="12"/>
        <v>0</v>
      </c>
      <c r="J176" s="23"/>
      <c r="K176" s="18">
        <f t="shared" si="13"/>
        <v>0</v>
      </c>
    </row>
    <row r="177" spans="1:11">
      <c r="A177" s="6">
        <v>285</v>
      </c>
      <c r="B177" s="94" t="s">
        <v>217</v>
      </c>
      <c r="C177" s="7" t="s">
        <v>210</v>
      </c>
      <c r="D177" s="69">
        <v>2</v>
      </c>
      <c r="E177" s="19"/>
      <c r="F177" s="69">
        <v>693</v>
      </c>
      <c r="G177" s="19"/>
      <c r="H177" s="18"/>
      <c r="I177" s="18">
        <f t="shared" si="12"/>
        <v>1386</v>
      </c>
      <c r="J177" s="23"/>
      <c r="K177" s="18">
        <f t="shared" si="13"/>
        <v>1386</v>
      </c>
    </row>
    <row r="178" spans="1:11" ht="13" thickBot="1">
      <c r="A178" s="47"/>
      <c r="B178" s="48"/>
      <c r="C178" s="47"/>
      <c r="D178" s="70"/>
      <c r="E178" s="49"/>
      <c r="F178" s="49"/>
      <c r="G178" s="49"/>
      <c r="H178" s="18"/>
      <c r="I178" s="18">
        <f t="shared" si="12"/>
        <v>0</v>
      </c>
      <c r="J178" s="23"/>
      <c r="K178" s="18">
        <f t="shared" si="13"/>
        <v>0</v>
      </c>
    </row>
    <row r="179" spans="1:11" ht="13" thickBot="1">
      <c r="A179" s="52"/>
      <c r="B179" s="86" t="s">
        <v>203</v>
      </c>
      <c r="C179" s="87" t="s">
        <v>1</v>
      </c>
      <c r="D179" s="71"/>
      <c r="E179" s="59"/>
      <c r="F179" s="59"/>
      <c r="G179" s="59"/>
      <c r="H179" s="59"/>
      <c r="I179" s="59">
        <f>SUM(I168:I178)</f>
        <v>9901</v>
      </c>
      <c r="J179" s="60"/>
      <c r="K179" s="61">
        <f>SUM(K168:K178)</f>
        <v>9901</v>
      </c>
    </row>
    <row r="180" spans="1:11">
      <c r="A180" s="53"/>
      <c r="B180" s="88"/>
      <c r="C180" s="89"/>
      <c r="D180" s="72"/>
      <c r="E180" s="62"/>
      <c r="F180" s="62"/>
      <c r="G180" s="62"/>
      <c r="H180" s="62"/>
      <c r="I180" s="62"/>
      <c r="J180" s="63"/>
      <c r="K180" s="64"/>
    </row>
    <row r="181" spans="1:11">
      <c r="A181" s="53"/>
      <c r="B181" s="90"/>
      <c r="C181" s="91"/>
      <c r="D181" s="73"/>
      <c r="E181" s="24"/>
      <c r="F181" s="24"/>
      <c r="G181" s="24"/>
      <c r="H181" s="24"/>
      <c r="I181" s="24"/>
      <c r="J181" s="50"/>
      <c r="K181" s="51"/>
    </row>
    <row r="182" spans="1:11">
      <c r="A182" s="53"/>
      <c r="B182" s="90"/>
      <c r="C182" s="91"/>
      <c r="D182" s="73"/>
      <c r="E182" s="24"/>
      <c r="F182" s="24"/>
      <c r="G182" s="24"/>
      <c r="H182" s="24"/>
      <c r="I182" s="24"/>
      <c r="J182" s="50"/>
      <c r="K182" s="51"/>
    </row>
    <row r="183" spans="1:11">
      <c r="A183" s="53"/>
      <c r="B183" s="90" t="s">
        <v>212</v>
      </c>
      <c r="C183" s="91"/>
      <c r="D183" s="73"/>
      <c r="E183" s="24"/>
      <c r="F183" s="24"/>
      <c r="G183" s="24"/>
      <c r="H183" s="24"/>
      <c r="I183" s="24"/>
      <c r="J183" s="50"/>
      <c r="K183" s="51">
        <f>K179*0.05</f>
        <v>495.05</v>
      </c>
    </row>
    <row r="184" spans="1:11" ht="13" thickBot="1">
      <c r="A184" s="54"/>
      <c r="B184" s="92"/>
      <c r="C184" s="93"/>
      <c r="D184" s="74"/>
      <c r="E184" s="55"/>
      <c r="F184" s="55"/>
      <c r="G184" s="55"/>
      <c r="H184" s="55"/>
      <c r="I184" s="55"/>
      <c r="J184" s="56"/>
      <c r="K184" s="57"/>
    </row>
    <row r="185" spans="1:11" ht="13" thickBot="1">
      <c r="A185" s="58"/>
      <c r="B185" s="86" t="s">
        <v>205</v>
      </c>
      <c r="C185" s="87"/>
      <c r="D185" s="71"/>
      <c r="E185" s="59"/>
      <c r="F185" s="59"/>
      <c r="G185" s="59"/>
      <c r="H185" s="59"/>
      <c r="I185" s="59"/>
      <c r="J185" s="60"/>
      <c r="K185" s="61">
        <f>K179+K180+K183</f>
        <v>10396.049999999999</v>
      </c>
    </row>
    <row r="186" spans="1:11">
      <c r="A186" s="8"/>
      <c r="B186" s="95"/>
      <c r="C186" s="96"/>
      <c r="D186" s="75"/>
      <c r="E186" s="21"/>
      <c r="F186" s="21"/>
      <c r="G186" s="21"/>
      <c r="H186" s="21"/>
      <c r="I186" s="21"/>
      <c r="J186" s="21"/>
      <c r="K186" s="21"/>
    </row>
    <row r="187" spans="1:11">
      <c r="A187" s="8"/>
      <c r="B187" s="95"/>
      <c r="C187" s="96"/>
      <c r="D187" s="75"/>
      <c r="E187" s="21"/>
      <c r="F187" s="21"/>
      <c r="G187" s="21"/>
      <c r="H187" s="21"/>
      <c r="I187" s="21"/>
      <c r="J187" s="21"/>
      <c r="K187" s="21"/>
    </row>
    <row r="188" spans="1:11">
      <c r="A188" s="8"/>
      <c r="B188" s="95"/>
      <c r="C188" s="96"/>
      <c r="D188" s="75"/>
      <c r="E188" s="21"/>
      <c r="F188" s="21"/>
      <c r="G188" s="21"/>
      <c r="H188" s="21"/>
      <c r="I188" s="21"/>
      <c r="J188" s="21"/>
      <c r="K188" s="21"/>
    </row>
    <row r="189" spans="1:11">
      <c r="A189" s="8"/>
      <c r="B189" s="95"/>
      <c r="C189" s="96"/>
      <c r="D189" s="75"/>
      <c r="E189" s="21"/>
      <c r="F189" s="21"/>
      <c r="G189" s="21"/>
      <c r="H189" s="21"/>
      <c r="I189" s="21"/>
      <c r="J189" s="21"/>
      <c r="K189" s="21"/>
    </row>
    <row r="190" spans="1:11" ht="15">
      <c r="A190" s="8"/>
      <c r="B190" s="80" t="s">
        <v>180</v>
      </c>
      <c r="C190" s="35"/>
      <c r="D190" s="81"/>
      <c r="E190" s="82"/>
      <c r="F190" s="83" t="s">
        <v>181</v>
      </c>
      <c r="G190" s="21"/>
      <c r="H190" s="21"/>
      <c r="I190" s="21"/>
      <c r="J190" s="21"/>
      <c r="K190" s="21"/>
    </row>
    <row r="191" spans="1:11">
      <c r="A191" s="8"/>
      <c r="B191" s="95"/>
      <c r="C191" s="96"/>
      <c r="D191" s="75"/>
      <c r="E191" s="21"/>
      <c r="F191" s="21"/>
      <c r="G191" s="21"/>
      <c r="H191" s="21"/>
      <c r="I191" s="21"/>
      <c r="J191" s="21"/>
      <c r="K191" s="21"/>
    </row>
    <row r="192" spans="1:11">
      <c r="A192" s="8"/>
      <c r="B192" s="9"/>
      <c r="C192" s="8"/>
      <c r="D192" s="75"/>
      <c r="E192" s="21"/>
      <c r="F192" s="21"/>
      <c r="G192" s="21"/>
      <c r="H192" s="21"/>
      <c r="I192" s="21"/>
      <c r="J192" s="21"/>
    </row>
    <row r="193" spans="1:11">
      <c r="A193" s="8"/>
      <c r="G193" s="25"/>
      <c r="H193" s="25"/>
      <c r="I193" s="25"/>
      <c r="J193" s="21"/>
      <c r="K193" s="21"/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workbookViewId="0">
      <selection activeCell="M29" sqref="M29"/>
    </sheetView>
  </sheetViews>
  <sheetFormatPr baseColWidth="10" defaultColWidth="8.83203125" defaultRowHeight="12" x14ac:dyDescent="0"/>
  <cols>
    <col min="1" max="1" width="5.1640625" customWidth="1"/>
    <col min="2" max="2" width="38.5" customWidth="1"/>
    <col min="3" max="3" width="7.5" customWidth="1"/>
    <col min="4" max="4" width="9" style="218" customWidth="1"/>
    <col min="5" max="5" width="10.6640625" customWidth="1"/>
    <col min="6" max="6" width="9.6640625" customWidth="1"/>
    <col min="7" max="7" width="10.33203125" customWidth="1"/>
    <col min="8" max="9" width="10.6640625" customWidth="1"/>
    <col min="10" max="10" width="11.5" customWidth="1"/>
    <col min="11" max="11" width="12.83203125" customWidth="1"/>
    <col min="12" max="12" width="2.5" customWidth="1"/>
    <col min="13" max="13" width="10.83203125" bestFit="1" customWidth="1"/>
    <col min="16" max="16" width="11.83203125" bestFit="1" customWidth="1"/>
  </cols>
  <sheetData>
    <row r="1" spans="1:16" ht="15">
      <c r="I1" s="344" t="s">
        <v>614</v>
      </c>
    </row>
    <row r="2" spans="1:16" ht="11.25" customHeight="1"/>
    <row r="3" spans="1:16" s="347" customFormat="1" ht="14.25" customHeight="1">
      <c r="A3" s="345" t="s">
        <v>615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16" s="347" customFormat="1" ht="15" customHeight="1">
      <c r="A4" s="346" t="s">
        <v>612</v>
      </c>
      <c r="B4" s="346"/>
      <c r="C4" s="346"/>
      <c r="D4" s="346"/>
      <c r="E4" s="346"/>
      <c r="F4" s="348" t="s">
        <v>613</v>
      </c>
      <c r="G4" s="346"/>
      <c r="H4" s="346"/>
      <c r="I4" s="346"/>
      <c r="J4" s="346"/>
      <c r="K4" s="346"/>
      <c r="L4" s="346"/>
      <c r="M4" s="346"/>
      <c r="N4" s="346"/>
      <c r="O4" s="346"/>
    </row>
    <row r="5" spans="1:16" s="347" customFormat="1" ht="17.25" customHeight="1">
      <c r="A5" s="346" t="s">
        <v>616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6" s="356" customFormat="1" ht="15.75" customHeight="1">
      <c r="A6" s="350"/>
      <c r="B6" s="351"/>
      <c r="C6" s="350"/>
      <c r="D6" s="352"/>
      <c r="E6" s="353"/>
      <c r="F6" s="353"/>
      <c r="G6" s="344"/>
      <c r="H6" s="354"/>
      <c r="I6" s="355"/>
      <c r="J6" s="354"/>
      <c r="K6" s="355"/>
    </row>
    <row r="7" spans="1:16" s="356" customFormat="1" ht="15" customHeight="1" thickBot="1">
      <c r="A7" s="357"/>
      <c r="C7" s="358"/>
      <c r="D7" s="358"/>
    </row>
    <row r="8" spans="1:16" ht="18.75" customHeight="1">
      <c r="A8" s="244" t="s">
        <v>0</v>
      </c>
      <c r="B8" s="245" t="s">
        <v>550</v>
      </c>
      <c r="C8" s="244" t="s">
        <v>551</v>
      </c>
      <c r="D8" s="246" t="s">
        <v>552</v>
      </c>
      <c r="E8" s="408" t="s">
        <v>558</v>
      </c>
      <c r="F8" s="424"/>
      <c r="G8" s="425"/>
      <c r="H8" s="408" t="s">
        <v>562</v>
      </c>
      <c r="I8" s="409"/>
      <c r="J8" s="410"/>
      <c r="K8" s="406" t="s">
        <v>559</v>
      </c>
      <c r="L8" s="3"/>
    </row>
    <row r="9" spans="1:16" ht="17.25" customHeight="1" thickBot="1">
      <c r="A9" s="239"/>
      <c r="B9" s="240"/>
      <c r="C9" s="247" t="s">
        <v>549</v>
      </c>
      <c r="D9" s="248"/>
      <c r="E9" s="241" t="s">
        <v>553</v>
      </c>
      <c r="F9" s="242" t="s">
        <v>560</v>
      </c>
      <c r="G9" s="243" t="s">
        <v>561</v>
      </c>
      <c r="H9" s="241" t="s">
        <v>553</v>
      </c>
      <c r="I9" s="242" t="s">
        <v>560</v>
      </c>
      <c r="J9" s="243" t="s">
        <v>561</v>
      </c>
      <c r="K9" s="407"/>
      <c r="L9" s="3"/>
    </row>
    <row r="10" spans="1:16" ht="20.25" customHeight="1">
      <c r="A10" s="297"/>
      <c r="B10" s="298" t="s">
        <v>618</v>
      </c>
      <c r="C10" s="297"/>
      <c r="D10" s="299"/>
      <c r="E10" s="300"/>
      <c r="F10" s="301"/>
      <c r="G10" s="302"/>
      <c r="H10" s="300"/>
      <c r="I10" s="301"/>
      <c r="J10" s="303"/>
      <c r="K10" s="304"/>
      <c r="L10" s="233"/>
    </row>
    <row r="11" spans="1:16" ht="26.25" customHeight="1">
      <c r="A11" s="294" t="s">
        <v>582</v>
      </c>
      <c r="B11" s="289" t="s">
        <v>586</v>
      </c>
      <c r="C11" s="237" t="s">
        <v>576</v>
      </c>
      <c r="D11" s="332">
        <v>123</v>
      </c>
      <c r="E11" s="223"/>
      <c r="F11" s="222"/>
      <c r="G11" s="251"/>
      <c r="H11" s="223">
        <f>D11*E11</f>
        <v>0</v>
      </c>
      <c r="I11" s="222"/>
      <c r="J11" s="224">
        <f>D11*G11</f>
        <v>0</v>
      </c>
      <c r="K11" s="226">
        <f>H11+I11+J11</f>
        <v>0</v>
      </c>
      <c r="L11" s="233"/>
      <c r="M11" s="46"/>
      <c r="P11" s="46"/>
    </row>
    <row r="12" spans="1:16" ht="27.75" customHeight="1">
      <c r="A12" s="335" t="s">
        <v>592</v>
      </c>
      <c r="B12" s="367" t="s">
        <v>621</v>
      </c>
      <c r="C12" s="237" t="s">
        <v>576</v>
      </c>
      <c r="D12" s="332">
        <v>61.5</v>
      </c>
      <c r="E12" s="223"/>
      <c r="F12" s="222"/>
      <c r="G12" s="251"/>
      <c r="H12" s="223">
        <f>D12*E12</f>
        <v>0</v>
      </c>
      <c r="I12" s="222">
        <f>D12*F12</f>
        <v>0</v>
      </c>
      <c r="J12" s="224">
        <f>D12*G12</f>
        <v>0</v>
      </c>
      <c r="K12" s="226">
        <f>H12+I12+J12</f>
        <v>0</v>
      </c>
      <c r="L12" s="233"/>
      <c r="M12" s="46"/>
      <c r="P12" s="46"/>
    </row>
    <row r="13" spans="1:16" ht="20.25" customHeight="1">
      <c r="A13" s="305"/>
      <c r="B13" s="306" t="s">
        <v>619</v>
      </c>
      <c r="C13" s="305"/>
      <c r="D13" s="307"/>
      <c r="E13" s="308"/>
      <c r="F13" s="309"/>
      <c r="G13" s="310"/>
      <c r="H13" s="308"/>
      <c r="I13" s="309"/>
      <c r="J13" s="311"/>
      <c r="K13" s="312"/>
      <c r="L13" s="233"/>
    </row>
    <row r="14" spans="1:16">
      <c r="A14" s="219" t="s">
        <v>593</v>
      </c>
      <c r="B14" s="232" t="s">
        <v>568</v>
      </c>
      <c r="C14" s="219" t="s">
        <v>576</v>
      </c>
      <c r="D14" s="249">
        <v>61.5</v>
      </c>
      <c r="E14" s="223"/>
      <c r="F14" s="222"/>
      <c r="G14" s="251"/>
      <c r="H14" s="223">
        <f>D14*E14</f>
        <v>0</v>
      </c>
      <c r="I14" s="222">
        <f>D14*F14</f>
        <v>0</v>
      </c>
      <c r="J14" s="224">
        <f>D14*G14</f>
        <v>0</v>
      </c>
      <c r="K14" s="226">
        <f t="shared" ref="K14:K32" si="0">H14+I14+J14</f>
        <v>0</v>
      </c>
      <c r="L14" s="233"/>
      <c r="M14" s="46"/>
      <c r="P14" s="46"/>
    </row>
    <row r="15" spans="1:16">
      <c r="A15" s="219" t="s">
        <v>594</v>
      </c>
      <c r="B15" s="232" t="s">
        <v>569</v>
      </c>
      <c r="C15" s="219" t="s">
        <v>555</v>
      </c>
      <c r="D15" s="249">
        <v>2</v>
      </c>
      <c r="E15" s="252"/>
      <c r="F15" s="225"/>
      <c r="G15" s="251"/>
      <c r="H15" s="223">
        <f t="shared" ref="H15:H22" si="1">D15*E15</f>
        <v>0</v>
      </c>
      <c r="I15" s="222">
        <f t="shared" ref="I15:I32" si="2">D15*F15</f>
        <v>0</v>
      </c>
      <c r="J15" s="224">
        <f t="shared" ref="J15:J22" si="3">D15*G15</f>
        <v>0</v>
      </c>
      <c r="K15" s="226">
        <f t="shared" si="0"/>
        <v>0</v>
      </c>
      <c r="L15" s="234"/>
      <c r="M15" s="46"/>
      <c r="P15" s="46"/>
    </row>
    <row r="16" spans="1:16">
      <c r="A16" s="219" t="s">
        <v>595</v>
      </c>
      <c r="B16" s="232" t="s">
        <v>570</v>
      </c>
      <c r="C16" s="219" t="s">
        <v>555</v>
      </c>
      <c r="D16" s="249">
        <v>5</v>
      </c>
      <c r="E16" s="252"/>
      <c r="F16" s="225"/>
      <c r="G16" s="251"/>
      <c r="H16" s="223">
        <f t="shared" si="1"/>
        <v>0</v>
      </c>
      <c r="I16" s="222">
        <f t="shared" si="2"/>
        <v>0</v>
      </c>
      <c r="J16" s="224">
        <f t="shared" si="3"/>
        <v>0</v>
      </c>
      <c r="K16" s="226">
        <f t="shared" si="0"/>
        <v>0</v>
      </c>
      <c r="L16" s="234"/>
      <c r="M16" s="46"/>
      <c r="P16" s="46"/>
    </row>
    <row r="17" spans="1:16">
      <c r="A17" s="219" t="s">
        <v>596</v>
      </c>
      <c r="B17" s="232" t="s">
        <v>571</v>
      </c>
      <c r="C17" s="238" t="s">
        <v>556</v>
      </c>
      <c r="D17" s="249">
        <v>1</v>
      </c>
      <c r="E17" s="252"/>
      <c r="F17" s="225"/>
      <c r="G17" s="251"/>
      <c r="H17" s="223">
        <f t="shared" si="1"/>
        <v>0</v>
      </c>
      <c r="I17" s="222">
        <f t="shared" si="2"/>
        <v>0</v>
      </c>
      <c r="J17" s="224">
        <f t="shared" si="3"/>
        <v>0</v>
      </c>
      <c r="K17" s="226">
        <f t="shared" si="0"/>
        <v>0</v>
      </c>
      <c r="L17" s="234"/>
      <c r="M17" s="46"/>
      <c r="P17" s="46"/>
    </row>
    <row r="18" spans="1:16" ht="15" customHeight="1">
      <c r="A18" s="219" t="s">
        <v>597</v>
      </c>
      <c r="B18" s="277" t="s">
        <v>583</v>
      </c>
      <c r="C18" s="238" t="s">
        <v>556</v>
      </c>
      <c r="D18" s="249">
        <v>1</v>
      </c>
      <c r="E18" s="252"/>
      <c r="F18" s="225"/>
      <c r="G18" s="251"/>
      <c r="H18" s="223">
        <f t="shared" si="1"/>
        <v>0</v>
      </c>
      <c r="I18" s="222">
        <f t="shared" si="2"/>
        <v>0</v>
      </c>
      <c r="J18" s="224">
        <f t="shared" si="3"/>
        <v>0</v>
      </c>
      <c r="K18" s="226">
        <f t="shared" si="0"/>
        <v>0</v>
      </c>
      <c r="L18" s="234"/>
      <c r="M18" s="46"/>
      <c r="P18" s="46"/>
    </row>
    <row r="19" spans="1:16" ht="15" customHeight="1">
      <c r="A19" s="219" t="s">
        <v>598</v>
      </c>
      <c r="B19" s="368" t="s">
        <v>622</v>
      </c>
      <c r="C19" s="238" t="s">
        <v>555</v>
      </c>
      <c r="D19" s="249">
        <v>1</v>
      </c>
      <c r="E19" s="252"/>
      <c r="F19" s="225"/>
      <c r="G19" s="251"/>
      <c r="H19" s="223">
        <f t="shared" si="1"/>
        <v>0</v>
      </c>
      <c r="I19" s="222">
        <f t="shared" si="2"/>
        <v>0</v>
      </c>
      <c r="J19" s="224">
        <f t="shared" si="3"/>
        <v>0</v>
      </c>
      <c r="K19" s="226">
        <f t="shared" si="0"/>
        <v>0</v>
      </c>
      <c r="L19" s="234"/>
      <c r="M19" s="46"/>
      <c r="P19" s="46"/>
    </row>
    <row r="20" spans="1:16">
      <c r="A20" s="341" t="s">
        <v>599</v>
      </c>
      <c r="B20" s="369" t="s">
        <v>623</v>
      </c>
      <c r="C20" s="238" t="s">
        <v>555</v>
      </c>
      <c r="D20" s="249">
        <v>4</v>
      </c>
      <c r="E20" s="252"/>
      <c r="F20" s="225"/>
      <c r="G20" s="251"/>
      <c r="H20" s="223">
        <f t="shared" si="1"/>
        <v>0</v>
      </c>
      <c r="I20" s="222">
        <f t="shared" si="2"/>
        <v>0</v>
      </c>
      <c r="J20" s="224">
        <f t="shared" si="3"/>
        <v>0</v>
      </c>
      <c r="K20" s="226">
        <f t="shared" si="0"/>
        <v>0</v>
      </c>
      <c r="L20" s="234"/>
      <c r="M20" s="46"/>
      <c r="P20" s="46"/>
    </row>
    <row r="21" spans="1:16">
      <c r="A21" s="341" t="s">
        <v>608</v>
      </c>
      <c r="B21" s="232" t="s">
        <v>620</v>
      </c>
      <c r="C21" s="238" t="s">
        <v>572</v>
      </c>
      <c r="D21" s="249">
        <v>2</v>
      </c>
      <c r="E21" s="252"/>
      <c r="F21" s="225"/>
      <c r="G21" s="251"/>
      <c r="H21" s="223">
        <f t="shared" si="1"/>
        <v>0</v>
      </c>
      <c r="I21" s="222">
        <f t="shared" si="2"/>
        <v>0</v>
      </c>
      <c r="J21" s="224">
        <f t="shared" si="3"/>
        <v>0</v>
      </c>
      <c r="K21" s="226">
        <f t="shared" si="0"/>
        <v>0</v>
      </c>
      <c r="L21" s="234"/>
      <c r="M21" s="46"/>
      <c r="N21" s="340"/>
      <c r="P21" s="46"/>
    </row>
    <row r="22" spans="1:16">
      <c r="A22" s="341" t="s">
        <v>609</v>
      </c>
      <c r="B22" s="232" t="s">
        <v>610</v>
      </c>
      <c r="C22" s="238" t="s">
        <v>576</v>
      </c>
      <c r="D22" s="249">
        <v>123</v>
      </c>
      <c r="E22" s="252"/>
      <c r="F22" s="225"/>
      <c r="G22" s="251"/>
      <c r="H22" s="223">
        <f t="shared" si="1"/>
        <v>0</v>
      </c>
      <c r="I22" s="222">
        <f t="shared" si="2"/>
        <v>0</v>
      </c>
      <c r="J22" s="224">
        <f t="shared" si="3"/>
        <v>0</v>
      </c>
      <c r="K22" s="226">
        <f t="shared" si="0"/>
        <v>0</v>
      </c>
      <c r="L22" s="234"/>
      <c r="M22" s="46"/>
      <c r="N22" s="340"/>
      <c r="P22" s="46"/>
    </row>
    <row r="23" spans="1:16" ht="20.25" customHeight="1">
      <c r="A23" s="305"/>
      <c r="B23" s="306" t="s">
        <v>574</v>
      </c>
      <c r="C23" s="313"/>
      <c r="D23" s="314"/>
      <c r="E23" s="315"/>
      <c r="F23" s="316"/>
      <c r="G23" s="310"/>
      <c r="H23" s="308"/>
      <c r="I23" s="309"/>
      <c r="J23" s="311"/>
      <c r="K23" s="312"/>
      <c r="L23" s="234"/>
      <c r="N23" s="340"/>
    </row>
    <row r="24" spans="1:16">
      <c r="A24" s="219" t="s">
        <v>600</v>
      </c>
      <c r="B24" s="232" t="s">
        <v>587</v>
      </c>
      <c r="C24" s="238" t="s">
        <v>575</v>
      </c>
      <c r="D24" s="249">
        <v>160</v>
      </c>
      <c r="E24" s="252"/>
      <c r="F24" s="225"/>
      <c r="G24" s="251"/>
      <c r="H24" s="223">
        <f>D24*E24</f>
        <v>0</v>
      </c>
      <c r="I24" s="222">
        <f>D24*F24</f>
        <v>0</v>
      </c>
      <c r="J24" s="224">
        <f t="shared" ref="J24:J32" si="4">D24*G24</f>
        <v>0</v>
      </c>
      <c r="K24" s="226">
        <f t="shared" si="0"/>
        <v>0</v>
      </c>
      <c r="L24" s="234"/>
      <c r="M24" s="46"/>
      <c r="P24" s="46"/>
    </row>
    <row r="25" spans="1:16" ht="24">
      <c r="A25" s="219" t="s">
        <v>601</v>
      </c>
      <c r="B25" s="370" t="s">
        <v>624</v>
      </c>
      <c r="C25" s="238" t="s">
        <v>575</v>
      </c>
      <c r="D25" s="249">
        <v>25</v>
      </c>
      <c r="E25" s="252"/>
      <c r="F25" s="225"/>
      <c r="G25" s="251"/>
      <c r="H25" s="223">
        <f>D25*E25</f>
        <v>0</v>
      </c>
      <c r="I25" s="222">
        <f>D25*F25</f>
        <v>0</v>
      </c>
      <c r="J25" s="224">
        <f t="shared" si="4"/>
        <v>0</v>
      </c>
      <c r="K25" s="226">
        <f t="shared" si="0"/>
        <v>0</v>
      </c>
      <c r="L25" s="234"/>
      <c r="M25" s="46"/>
      <c r="P25" s="46"/>
    </row>
    <row r="26" spans="1:16" ht="15" customHeight="1">
      <c r="A26" s="219" t="s">
        <v>602</v>
      </c>
      <c r="B26" s="290" t="s">
        <v>577</v>
      </c>
      <c r="C26" s="284" t="s">
        <v>575</v>
      </c>
      <c r="D26" s="282">
        <v>40</v>
      </c>
      <c r="E26" s="283"/>
      <c r="F26" s="291"/>
      <c r="G26" s="285"/>
      <c r="H26" s="288">
        <f t="shared" ref="H26:H32" si="5">D26*E26</f>
        <v>0</v>
      </c>
      <c r="I26" s="222">
        <f t="shared" si="2"/>
        <v>0</v>
      </c>
      <c r="J26" s="286">
        <f t="shared" si="4"/>
        <v>0</v>
      </c>
      <c r="K26" s="287">
        <f t="shared" si="0"/>
        <v>0</v>
      </c>
      <c r="L26" s="234"/>
      <c r="M26" s="46"/>
      <c r="P26" s="46"/>
    </row>
    <row r="27" spans="1:16" ht="28.5" customHeight="1">
      <c r="A27" s="338" t="s">
        <v>611</v>
      </c>
      <c r="B27" s="292" t="s">
        <v>578</v>
      </c>
      <c r="C27" s="238" t="s">
        <v>575</v>
      </c>
      <c r="D27" s="249">
        <v>160</v>
      </c>
      <c r="E27" s="252"/>
      <c r="F27" s="333"/>
      <c r="G27" s="251"/>
      <c r="H27" s="223">
        <f t="shared" si="5"/>
        <v>0</v>
      </c>
      <c r="I27" s="342">
        <f t="shared" si="2"/>
        <v>0</v>
      </c>
      <c r="J27" s="293">
        <f t="shared" si="4"/>
        <v>0</v>
      </c>
      <c r="K27" s="226">
        <f t="shared" si="0"/>
        <v>0</v>
      </c>
      <c r="L27" s="234"/>
      <c r="M27" s="46"/>
      <c r="P27" s="46"/>
    </row>
    <row r="28" spans="1:16" ht="20.25" customHeight="1">
      <c r="A28" s="317"/>
      <c r="B28" s="318" t="s">
        <v>579</v>
      </c>
      <c r="C28" s="313"/>
      <c r="D28" s="314"/>
      <c r="E28" s="315"/>
      <c r="F28" s="316"/>
      <c r="G28" s="310"/>
      <c r="H28" s="308"/>
      <c r="I28" s="319"/>
      <c r="J28" s="320"/>
      <c r="K28" s="312"/>
      <c r="L28" s="234"/>
    </row>
    <row r="29" spans="1:16" ht="32.25" customHeight="1">
      <c r="A29" s="343" t="s">
        <v>604</v>
      </c>
      <c r="B29" s="371" t="s">
        <v>625</v>
      </c>
      <c r="C29" s="376" t="s">
        <v>580</v>
      </c>
      <c r="D29" s="249">
        <v>45</v>
      </c>
      <c r="E29" s="252"/>
      <c r="F29" s="225"/>
      <c r="G29" s="251"/>
      <c r="H29" s="223">
        <f t="shared" si="5"/>
        <v>0</v>
      </c>
      <c r="I29" s="222">
        <f>D29*F29</f>
        <v>0</v>
      </c>
      <c r="J29" s="293">
        <f t="shared" si="4"/>
        <v>0</v>
      </c>
      <c r="K29" s="226">
        <f t="shared" si="0"/>
        <v>0</v>
      </c>
      <c r="L29" s="234"/>
      <c r="M29" s="46"/>
      <c r="P29" s="46"/>
    </row>
    <row r="30" spans="1:16" ht="15" customHeight="1">
      <c r="A30" s="219" t="s">
        <v>605</v>
      </c>
      <c r="B30" s="295" t="s">
        <v>584</v>
      </c>
      <c r="C30" s="238" t="s">
        <v>575</v>
      </c>
      <c r="D30" s="249">
        <v>20</v>
      </c>
      <c r="E30" s="252"/>
      <c r="F30" s="225"/>
      <c r="G30" s="251"/>
      <c r="H30" s="223">
        <f t="shared" si="5"/>
        <v>0</v>
      </c>
      <c r="I30" s="222">
        <f t="shared" si="2"/>
        <v>0</v>
      </c>
      <c r="J30" s="293">
        <f t="shared" si="4"/>
        <v>0</v>
      </c>
      <c r="K30" s="226">
        <f t="shared" si="0"/>
        <v>0</v>
      </c>
      <c r="L30" s="234"/>
      <c r="M30" s="46"/>
      <c r="P30" s="46"/>
    </row>
    <row r="31" spans="1:16" ht="15" customHeight="1">
      <c r="A31" s="219" t="s">
        <v>606</v>
      </c>
      <c r="B31" s="371" t="s">
        <v>626</v>
      </c>
      <c r="C31" s="238" t="s">
        <v>580</v>
      </c>
      <c r="D31" s="249">
        <v>100</v>
      </c>
      <c r="E31" s="252"/>
      <c r="F31" s="225"/>
      <c r="G31" s="251"/>
      <c r="H31" s="223">
        <f t="shared" si="5"/>
        <v>0</v>
      </c>
      <c r="I31" s="222">
        <f t="shared" si="2"/>
        <v>0</v>
      </c>
      <c r="J31" s="293">
        <f t="shared" si="4"/>
        <v>0</v>
      </c>
      <c r="K31" s="226">
        <f t="shared" si="0"/>
        <v>0</v>
      </c>
      <c r="L31" s="234"/>
      <c r="M31" s="46"/>
      <c r="P31" s="46"/>
    </row>
    <row r="32" spans="1:16" ht="40.5" customHeight="1">
      <c r="A32" s="343" t="s">
        <v>603</v>
      </c>
      <c r="B32" s="296" t="s">
        <v>585</v>
      </c>
      <c r="C32" s="238" t="s">
        <v>580</v>
      </c>
      <c r="D32" s="249">
        <v>45</v>
      </c>
      <c r="E32" s="252"/>
      <c r="F32" s="225"/>
      <c r="G32" s="251"/>
      <c r="H32" s="223">
        <f t="shared" si="5"/>
        <v>0</v>
      </c>
      <c r="I32" s="222">
        <f t="shared" si="2"/>
        <v>0</v>
      </c>
      <c r="J32" s="293">
        <f t="shared" si="4"/>
        <v>0</v>
      </c>
      <c r="K32" s="226">
        <f t="shared" si="0"/>
        <v>0</v>
      </c>
      <c r="L32" s="234"/>
      <c r="M32" s="46"/>
      <c r="P32" s="46"/>
    </row>
    <row r="33" spans="1:20" ht="20.25" customHeight="1">
      <c r="A33" s="305"/>
      <c r="B33" s="306" t="s">
        <v>581</v>
      </c>
      <c r="C33" s="321"/>
      <c r="D33" s="314"/>
      <c r="E33" s="315"/>
      <c r="F33" s="316"/>
      <c r="G33" s="310"/>
      <c r="H33" s="308"/>
      <c r="I33" s="319"/>
      <c r="J33" s="311"/>
      <c r="K33" s="312"/>
      <c r="L33" s="234"/>
    </row>
    <row r="34" spans="1:20" ht="15" customHeight="1">
      <c r="A34" s="335" t="s">
        <v>588</v>
      </c>
      <c r="B34" s="232" t="s">
        <v>563</v>
      </c>
      <c r="C34" s="238" t="s">
        <v>556</v>
      </c>
      <c r="D34" s="249">
        <v>1</v>
      </c>
      <c r="E34" s="252"/>
      <c r="F34" s="225"/>
      <c r="G34" s="251"/>
      <c r="H34" s="223"/>
      <c r="I34" s="222">
        <f>D34*F34</f>
        <v>0</v>
      </c>
      <c r="J34" s="224"/>
      <c r="K34" s="226">
        <f>H34+I34+J34</f>
        <v>0</v>
      </c>
      <c r="L34" s="233"/>
      <c r="M34" s="46"/>
      <c r="P34" s="46"/>
    </row>
    <row r="35" spans="1:20" ht="15" customHeight="1">
      <c r="A35" s="336" t="s">
        <v>589</v>
      </c>
      <c r="B35" s="281" t="s">
        <v>573</v>
      </c>
      <c r="C35" s="334" t="s">
        <v>631</v>
      </c>
      <c r="D35" s="278">
        <v>1</v>
      </c>
      <c r="E35" s="252"/>
      <c r="F35" s="225"/>
      <c r="G35" s="279"/>
      <c r="H35" s="252"/>
      <c r="I35" s="225"/>
      <c r="J35" s="280">
        <f>D35*G35</f>
        <v>0</v>
      </c>
      <c r="K35" s="226">
        <f>H35+I35+J35</f>
        <v>0</v>
      </c>
      <c r="L35" s="233"/>
      <c r="M35" s="46"/>
      <c r="P35" s="46"/>
    </row>
    <row r="36" spans="1:20" ht="15" customHeight="1" thickBot="1">
      <c r="A36" s="337" t="s">
        <v>590</v>
      </c>
      <c r="B36" s="372" t="s">
        <v>627</v>
      </c>
      <c r="C36" s="334" t="s">
        <v>631</v>
      </c>
      <c r="D36" s="254">
        <v>1</v>
      </c>
      <c r="E36" s="255"/>
      <c r="F36" s="256"/>
      <c r="G36" s="257"/>
      <c r="H36" s="255"/>
      <c r="I36" s="256">
        <f>D36*F36</f>
        <v>0</v>
      </c>
      <c r="J36" s="258">
        <f>D36*G36</f>
        <v>0</v>
      </c>
      <c r="K36" s="226">
        <f>H36+I36+J36</f>
        <v>0</v>
      </c>
      <c r="L36" s="234"/>
      <c r="M36" s="46"/>
      <c r="P36" s="46"/>
    </row>
    <row r="37" spans="1:20" ht="15.75" customHeight="1" thickBot="1">
      <c r="A37" s="411" t="s">
        <v>564</v>
      </c>
      <c r="B37" s="412"/>
      <c r="C37" s="412"/>
      <c r="D37" s="412"/>
      <c r="E37" s="412"/>
      <c r="F37" s="412"/>
      <c r="G37" s="413"/>
      <c r="H37" s="271">
        <f>SUM(H10:H36)</f>
        <v>0</v>
      </c>
      <c r="I37" s="272">
        <f>SUM(I10:I36)</f>
        <v>0</v>
      </c>
      <c r="J37" s="273">
        <f>SUM(J10:J36)</f>
        <v>0</v>
      </c>
      <c r="K37" s="274">
        <f>SUM(K10:K36)</f>
        <v>0</v>
      </c>
      <c r="L37" s="233"/>
      <c r="P37" s="46"/>
    </row>
    <row r="38" spans="1:20" ht="20.25" customHeight="1">
      <c r="A38" s="322"/>
      <c r="B38" s="323" t="s">
        <v>591</v>
      </c>
      <c r="C38" s="324"/>
      <c r="D38" s="325"/>
      <c r="E38" s="326"/>
      <c r="F38" s="327"/>
      <c r="G38" s="328"/>
      <c r="H38" s="329"/>
      <c r="I38" s="327"/>
      <c r="J38" s="330"/>
      <c r="K38" s="331"/>
      <c r="L38" s="235"/>
    </row>
    <row r="39" spans="1:20" ht="15" customHeight="1">
      <c r="A39" s="339" t="s">
        <v>607</v>
      </c>
      <c r="B39" s="236" t="s">
        <v>557</v>
      </c>
      <c r="C39" s="220" t="s">
        <v>554</v>
      </c>
      <c r="D39" s="377"/>
      <c r="E39" s="253"/>
      <c r="F39" s="227"/>
      <c r="G39" s="228"/>
      <c r="H39" s="229"/>
      <c r="I39" s="227"/>
      <c r="J39" s="230"/>
      <c r="K39" s="231">
        <f>K37*D39/100</f>
        <v>0</v>
      </c>
      <c r="L39" s="235"/>
      <c r="P39" s="276"/>
    </row>
    <row r="40" spans="1:20" ht="13" thickBot="1">
      <c r="A40" s="221"/>
      <c r="B40" s="236"/>
      <c r="C40" s="220"/>
      <c r="D40" s="250"/>
      <c r="E40" s="253"/>
      <c r="F40" s="227"/>
      <c r="G40" s="228"/>
      <c r="H40" s="229"/>
      <c r="I40" s="227"/>
      <c r="J40" s="230"/>
      <c r="K40" s="231"/>
      <c r="L40" s="235"/>
      <c r="P40" s="276"/>
    </row>
    <row r="41" spans="1:20" ht="13" hidden="1" thickBot="1">
      <c r="A41" s="259"/>
      <c r="B41" s="260"/>
      <c r="C41" s="261"/>
      <c r="D41" s="262"/>
      <c r="E41" s="263"/>
      <c r="F41" s="264"/>
      <c r="G41" s="265"/>
      <c r="H41" s="266"/>
      <c r="I41" s="264"/>
      <c r="J41" s="267"/>
      <c r="K41" s="268"/>
      <c r="L41" s="235"/>
    </row>
    <row r="42" spans="1:20" ht="14.25" customHeight="1" thickBot="1">
      <c r="A42" s="421" t="s">
        <v>565</v>
      </c>
      <c r="B42" s="412"/>
      <c r="C42" s="412"/>
      <c r="D42" s="412"/>
      <c r="E42" s="412"/>
      <c r="F42" s="412"/>
      <c r="G42" s="412"/>
      <c r="H42" s="422"/>
      <c r="I42" s="422"/>
      <c r="J42" s="423"/>
      <c r="K42" s="270">
        <f>K37+K38+K39+K40+K41</f>
        <v>0</v>
      </c>
      <c r="L42" s="235"/>
      <c r="P42" s="276"/>
    </row>
    <row r="43" spans="1:20" ht="14.25" customHeight="1" thickBot="1">
      <c r="A43" s="414" t="s">
        <v>567</v>
      </c>
      <c r="B43" s="415"/>
      <c r="C43" s="415"/>
      <c r="D43" s="415"/>
      <c r="E43" s="415"/>
      <c r="F43" s="415"/>
      <c r="G43" s="415"/>
      <c r="H43" s="416"/>
      <c r="I43" s="416"/>
      <c r="J43" s="417"/>
      <c r="K43" s="269">
        <f>K42*0.22</f>
        <v>0</v>
      </c>
      <c r="M43" s="276"/>
    </row>
    <row r="44" spans="1:20" ht="13.5" customHeight="1" thickBot="1">
      <c r="A44" s="418" t="s">
        <v>566</v>
      </c>
      <c r="B44" s="419"/>
      <c r="C44" s="419"/>
      <c r="D44" s="419"/>
      <c r="E44" s="419"/>
      <c r="F44" s="419"/>
      <c r="G44" s="419"/>
      <c r="H44" s="419"/>
      <c r="I44" s="419"/>
      <c r="J44" s="420"/>
      <c r="K44" s="275">
        <f>K42+K43</f>
        <v>0</v>
      </c>
      <c r="M44" s="276"/>
    </row>
    <row r="46" spans="1:20" ht="15.75" customHeight="1"/>
    <row r="47" spans="1:20" s="362" customFormat="1">
      <c r="A47" s="373" t="s">
        <v>629</v>
      </c>
      <c r="B47" s="360"/>
      <c r="C47" s="374"/>
      <c r="D47" s="375"/>
      <c r="E47" s="375"/>
      <c r="G47" s="373" t="s">
        <v>630</v>
      </c>
      <c r="H47" s="363"/>
      <c r="I47" s="361"/>
      <c r="J47" s="361"/>
      <c r="K47" s="360"/>
      <c r="L47" s="360"/>
      <c r="M47" s="360"/>
      <c r="N47" s="360"/>
      <c r="O47" s="360"/>
      <c r="R47" s="360"/>
      <c r="S47" s="360"/>
      <c r="T47" s="360"/>
    </row>
    <row r="48" spans="1:20" s="362" customFormat="1">
      <c r="A48" s="364"/>
      <c r="B48" s="373" t="s">
        <v>628</v>
      </c>
      <c r="C48" s="359"/>
      <c r="D48" s="359"/>
      <c r="E48" s="359"/>
      <c r="G48" s="365"/>
      <c r="H48" s="365"/>
      <c r="I48" s="366" t="s">
        <v>617</v>
      </c>
      <c r="J48" s="365"/>
      <c r="K48" s="365"/>
      <c r="L48" s="365"/>
      <c r="M48" s="365"/>
      <c r="N48" s="365"/>
    </row>
  </sheetData>
  <mergeCells count="7">
    <mergeCell ref="K8:K9"/>
    <mergeCell ref="H8:J8"/>
    <mergeCell ref="A37:G37"/>
    <mergeCell ref="A43:J43"/>
    <mergeCell ref="A44:J44"/>
    <mergeCell ref="A42:J42"/>
    <mergeCell ref="E8:G8"/>
  </mergeCells>
  <phoneticPr fontId="13" type="noConversion"/>
  <pageMargins left="1" right="0.75" top="0.64" bottom="0.57999999999999996" header="0.36" footer="0.41"/>
  <headerFooter alignWithMargins="0">
    <oddFooter>&amp;R&amp;P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Вариант 1</vt:lpstr>
      <vt:lpstr>Финальный</vt:lpstr>
      <vt:lpstr>Раздельный</vt:lpstr>
      <vt:lpstr>Zem.17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Oksana Purina</cp:lastModifiedBy>
  <cp:lastPrinted>2011-08-15T10:36:27Z</cp:lastPrinted>
  <dcterms:created xsi:type="dcterms:W3CDTF">2002-11-21T17:26:22Z</dcterms:created>
  <dcterms:modified xsi:type="dcterms:W3CDTF">2011-08-17T08:32:08Z</dcterms:modified>
</cp:coreProperties>
</file>